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\Budget 2020\"/>
    </mc:Choice>
  </mc:AlternateContent>
  <bookViews>
    <workbookView xWindow="33480" yWindow="1032" windowWidth="21528" windowHeight="15600" tabRatio="734" firstSheet="2" activeTab="11"/>
  </bookViews>
  <sheets>
    <sheet name="BUDGET SUMMARY" sheetId="38" r:id="rId1"/>
    <sheet name="General Fund Revenues" sheetId="37" r:id="rId2"/>
    <sheet name="Elections" sheetId="36" r:id="rId3"/>
    <sheet name="Council" sheetId="2" r:id="rId4"/>
    <sheet name="Administration" sheetId="3" r:id="rId5"/>
    <sheet name="Police" sheetId="8" r:id="rId6"/>
    <sheet name="Fire" sheetId="7" r:id="rId7"/>
    <sheet name="Fire Equip" sheetId="74" r:id="rId8"/>
    <sheet name="Ambulance" sheetId="53" r:id="rId9"/>
    <sheet name="Emergency Mgmt" sheetId="56" r:id="rId10"/>
    <sheet name="Animal Control" sheetId="45" r:id="rId11"/>
    <sheet name="Streets" sheetId="5" r:id="rId12"/>
    <sheet name="Recycling" sheetId="72" r:id="rId13"/>
    <sheet name="Parks" sheetId="4" r:id="rId14"/>
    <sheet name="SWIM Center" sheetId="13" r:id="rId15"/>
    <sheet name="Recreation" sheetId="12" r:id="rId16"/>
    <sheet name="Old Pool" sheetId="46" r:id="rId17"/>
    <sheet name="Special Revenue Funds-Fest Bldg" sheetId="23" r:id="rId18"/>
    <sheet name="EDA" sheetId="54" r:id="rId19"/>
    <sheet name="Tax Abate LAX" sheetId="71" r:id="rId20"/>
    <sheet name="Street Infrastructure" sheetId="59" r:id="rId21"/>
    <sheet name="Capital Equipment" sheetId="58" r:id="rId22"/>
    <sheet name="Electric Infrastructure" sheetId="60" r:id="rId23"/>
    <sheet name="Contingency" sheetId="57" r:id="rId24"/>
    <sheet name="Sewer Infrastructure" sheetId="61" r:id="rId25"/>
    <sheet name="Water Infrastructure" sheetId="62" r:id="rId26"/>
    <sheet name="Cable TV" sheetId="10" r:id="rId27"/>
    <sheet name="Enterprise Funds-Electric" sheetId="21" r:id="rId28"/>
    <sheet name="Enterprise Funds-Water" sheetId="20" r:id="rId29"/>
    <sheet name="Enterprise Funds-Sewer" sheetId="19" r:id="rId30"/>
    <sheet name="Library" sheetId="11" r:id="rId31"/>
    <sheet name="Enterprise Funds-Liquor Store" sheetId="18" r:id="rId32"/>
    <sheet name="Debt Service Summary" sheetId="55" r:id="rId33"/>
    <sheet name="Nisse Treehouse TIF" sheetId="73" r:id="rId34"/>
    <sheet name="TIF 2005A (314) - REFUNDED" sheetId="40" r:id="rId35"/>
    <sheet name="TAX ABATE 2012A (315)" sheetId="41" r:id="rId36"/>
    <sheet name="TIF 2007A (318)" sheetId="67" r:id="rId37"/>
    <sheet name="TIF GO 2015 (319)" sheetId="66" r:id="rId38"/>
    <sheet name="Hwy 44 Bond 2013" sheetId="51" r:id="rId39"/>
    <sheet name="EDA Operating" sheetId="68" r:id="rId40"/>
    <sheet name="EDA Revolving" sheetId="69" r:id="rId41"/>
    <sheet name="EDA Rev Bond" sheetId="70" r:id="rId42"/>
  </sheets>
  <calcPr calcId="152511"/>
</workbook>
</file>

<file path=xl/calcChain.xml><?xml version="1.0" encoding="utf-8"?>
<calcChain xmlns="http://schemas.openxmlformats.org/spreadsheetml/2006/main">
  <c r="B26" i="74" l="1"/>
  <c r="C23" i="37" l="1"/>
  <c r="E15" i="13" l="1"/>
  <c r="D18" i="12"/>
  <c r="D17" i="12"/>
  <c r="D42" i="37"/>
  <c r="E16" i="8"/>
  <c r="C16" i="8"/>
  <c r="D25" i="7"/>
  <c r="C20" i="7"/>
  <c r="C19" i="7"/>
  <c r="D71" i="8"/>
  <c r="C19" i="3" l="1"/>
  <c r="D37" i="19" l="1"/>
  <c r="E6" i="20" l="1"/>
  <c r="D44" i="21"/>
  <c r="C7" i="61"/>
  <c r="C13" i="19" l="1"/>
  <c r="C3" i="37" l="1"/>
  <c r="A12" i="38"/>
  <c r="C8" i="57"/>
  <c r="D8" i="57"/>
  <c r="C48" i="37"/>
  <c r="D48" i="37"/>
  <c r="D9" i="37"/>
  <c r="D5" i="37"/>
  <c r="C30" i="8"/>
  <c r="C29" i="3"/>
  <c r="C31" i="8" l="1"/>
  <c r="C30" i="3"/>
  <c r="E24" i="38" l="1"/>
  <c r="E13" i="38"/>
  <c r="A13" i="38"/>
  <c r="C5" i="37"/>
  <c r="C9" i="37"/>
  <c r="A9" i="38" s="1"/>
  <c r="D15" i="41" l="1"/>
  <c r="D19" i="41" s="1"/>
  <c r="D16" i="41"/>
  <c r="G17" i="41"/>
  <c r="E11" i="41"/>
  <c r="E19" i="41"/>
  <c r="D11" i="41"/>
  <c r="E6" i="55" s="1"/>
  <c r="D17" i="67"/>
  <c r="D28" i="66"/>
  <c r="D12" i="66"/>
  <c r="E5" i="55" s="1"/>
  <c r="E21" i="66"/>
  <c r="E28" i="66" s="1"/>
  <c r="E12" i="66"/>
  <c r="E9" i="67"/>
  <c r="E17" i="67"/>
  <c r="E18" i="40"/>
  <c r="D18" i="40"/>
  <c r="D10" i="73"/>
  <c r="C15" i="73" l="1"/>
  <c r="C10" i="73" l="1"/>
  <c r="D15" i="73"/>
  <c r="D20" i="70"/>
  <c r="D8" i="70"/>
  <c r="D17" i="69"/>
  <c r="D8" i="69"/>
  <c r="D45" i="68"/>
  <c r="D12" i="68" l="1"/>
  <c r="D13" i="11"/>
  <c r="D17" i="11" s="1"/>
  <c r="D19" i="13"/>
  <c r="D18" i="13"/>
  <c r="D16" i="11" l="1"/>
  <c r="D15" i="11"/>
  <c r="D52" i="11" s="1"/>
  <c r="C49" i="8"/>
  <c r="C7" i="54"/>
  <c r="E20" i="38" s="1"/>
  <c r="C23" i="51" l="1"/>
  <c r="D23" i="51"/>
  <c r="D12" i="51"/>
  <c r="C8" i="51"/>
  <c r="C12" i="51" s="1"/>
  <c r="E7" i="55" s="1"/>
  <c r="D24" i="18"/>
  <c r="D23" i="18"/>
  <c r="D90" i="18" s="1"/>
  <c r="D22" i="18"/>
  <c r="D16" i="18"/>
  <c r="C7" i="19" l="1"/>
  <c r="C25" i="19"/>
  <c r="C24" i="19"/>
  <c r="C23" i="19"/>
  <c r="C74" i="19" s="1"/>
  <c r="D5" i="20"/>
  <c r="D13" i="20" s="1"/>
  <c r="D55" i="20"/>
  <c r="D64" i="20"/>
  <c r="D21" i="20"/>
  <c r="D20" i="20"/>
  <c r="D19" i="20"/>
  <c r="C82" i="21"/>
  <c r="C27" i="21"/>
  <c r="C28" i="21"/>
  <c r="C29" i="21"/>
  <c r="C6" i="21"/>
  <c r="C20" i="21" s="1"/>
  <c r="D34" i="10"/>
  <c r="D7" i="10"/>
  <c r="D69" i="13"/>
  <c r="E16" i="38" s="1"/>
  <c r="D22" i="5"/>
  <c r="D21" i="5"/>
  <c r="D20" i="5"/>
  <c r="D11" i="5"/>
  <c r="E28" i="8"/>
  <c r="C21" i="8"/>
  <c r="C23" i="8"/>
  <c r="C26" i="8" s="1"/>
  <c r="C21" i="3"/>
  <c r="C27" i="3" s="1"/>
  <c r="C25" i="3" l="1"/>
  <c r="C73" i="3" s="1"/>
  <c r="E8" i="38" s="1"/>
  <c r="C26" i="3"/>
  <c r="C25" i="8"/>
  <c r="C84" i="21"/>
  <c r="C27" i="8"/>
  <c r="C28" i="8"/>
  <c r="C74" i="8" l="1"/>
  <c r="E9" i="38" s="1"/>
  <c r="C15" i="3"/>
  <c r="C73" i="7"/>
  <c r="E10" i="38" s="1"/>
  <c r="E90" i="18" l="1"/>
  <c r="E16" i="18"/>
  <c r="E52" i="11"/>
  <c r="G29" i="11"/>
  <c r="E9" i="11"/>
  <c r="D74" i="19"/>
  <c r="D17" i="19"/>
  <c r="E64" i="20"/>
  <c r="G6" i="20"/>
  <c r="E13" i="20"/>
  <c r="D84" i="21"/>
  <c r="F20" i="21"/>
  <c r="D20" i="21"/>
  <c r="C13" i="57"/>
  <c r="D13" i="57"/>
  <c r="C8" i="59"/>
  <c r="D11" i="23"/>
  <c r="D51" i="23"/>
  <c r="E19" i="38" s="1"/>
  <c r="E51" i="23"/>
  <c r="E11" i="23"/>
  <c r="E8" i="46"/>
  <c r="D35" i="12"/>
  <c r="E17" i="38" s="1"/>
  <c r="D9" i="12"/>
  <c r="E35" i="12"/>
  <c r="E9" i="12"/>
  <c r="D11" i="13"/>
  <c r="C25" i="37" s="1"/>
  <c r="D53" i="4"/>
  <c r="E15" i="38" s="1"/>
  <c r="E44" i="4"/>
  <c r="C42" i="37" l="1"/>
  <c r="A10" i="38" s="1"/>
  <c r="E8" i="70"/>
  <c r="G16" i="70"/>
  <c r="E20" i="70"/>
  <c r="E17" i="69"/>
  <c r="E8" i="69"/>
  <c r="E45" i="68"/>
  <c r="E12" i="68"/>
  <c r="E69" i="13" l="1"/>
  <c r="E11" i="13"/>
  <c r="E53" i="4"/>
  <c r="G4" i="4"/>
  <c r="E8" i="4"/>
  <c r="D8" i="4"/>
  <c r="E7" i="72"/>
  <c r="E12" i="72"/>
  <c r="D67" i="5"/>
  <c r="E14" i="38" s="1"/>
  <c r="E11" i="5"/>
  <c r="E67" i="5"/>
  <c r="C9" i="56"/>
  <c r="E12" i="38" s="1"/>
  <c r="D9" i="56"/>
  <c r="C8" i="53"/>
  <c r="E11" i="38" s="1"/>
  <c r="D8" i="53"/>
  <c r="D17" i="74"/>
  <c r="C10" i="74"/>
  <c r="D10" i="74"/>
  <c r="D73" i="7"/>
  <c r="C12" i="7"/>
  <c r="D12" i="7"/>
  <c r="F71" i="8"/>
  <c r="F23" i="8"/>
  <c r="D74" i="8"/>
  <c r="D16" i="8"/>
  <c r="F12" i="8"/>
  <c r="F16" i="8" s="1"/>
  <c r="D15" i="3"/>
  <c r="D73" i="3"/>
  <c r="F67" i="3"/>
  <c r="F56" i="3"/>
  <c r="C28" i="2"/>
  <c r="E7" i="38" s="1"/>
  <c r="D28" i="2"/>
  <c r="D12" i="36"/>
  <c r="E6" i="38" s="1"/>
  <c r="E12" i="36"/>
  <c r="G4" i="36"/>
  <c r="D8" i="46"/>
  <c r="E18" i="38" s="1"/>
  <c r="F45" i="19" l="1"/>
  <c r="E34" i="10" l="1"/>
  <c r="E7" i="10"/>
  <c r="F18" i="23" l="1"/>
  <c r="F17" i="23"/>
  <c r="I10" i="74"/>
  <c r="H10" i="74"/>
  <c r="G10" i="74"/>
  <c r="F10" i="74"/>
  <c r="E10" i="74"/>
  <c r="N14" i="74"/>
  <c r="N18" i="74" s="1"/>
  <c r="M14" i="74"/>
  <c r="M18" i="74" s="1"/>
  <c r="H17" i="74"/>
  <c r="G17" i="74"/>
  <c r="F17" i="74"/>
  <c r="E17" i="74"/>
  <c r="F24" i="20"/>
  <c r="E31" i="8"/>
  <c r="E30" i="3"/>
  <c r="E7" i="2"/>
  <c r="E6" i="2"/>
  <c r="E35" i="37"/>
  <c r="E5" i="37"/>
  <c r="F19" i="41"/>
  <c r="F11" i="41"/>
  <c r="G15" i="73"/>
  <c r="E15" i="73"/>
  <c r="F10" i="73"/>
  <c r="E10" i="73"/>
  <c r="J11" i="40"/>
  <c r="I11" i="40"/>
  <c r="H11" i="40"/>
  <c r="F11" i="40"/>
  <c r="F18" i="40"/>
  <c r="E21" i="38"/>
  <c r="F28" i="66"/>
  <c r="F12" i="66"/>
  <c r="E7" i="54"/>
  <c r="F45" i="68"/>
  <c r="F12" i="68"/>
  <c r="F17" i="69"/>
  <c r="F8" i="69"/>
  <c r="F20" i="70"/>
  <c r="F8" i="70"/>
  <c r="E23" i="51"/>
  <c r="E12" i="51"/>
  <c r="A38" i="38"/>
  <c r="A39" i="38" s="1"/>
  <c r="F48" i="37"/>
  <c r="E48" i="37"/>
  <c r="F18" i="18"/>
  <c r="F24" i="18"/>
  <c r="F19" i="11"/>
  <c r="F13" i="11"/>
  <c r="F9" i="11"/>
  <c r="E27" i="19"/>
  <c r="E20" i="19"/>
  <c r="E24" i="19" s="1"/>
  <c r="F23" i="20"/>
  <c r="F16" i="20"/>
  <c r="E82" i="21"/>
  <c r="E23" i="21"/>
  <c r="E29" i="21" s="1"/>
  <c r="E8" i="57"/>
  <c r="F9" i="71"/>
  <c r="F19" i="13"/>
  <c r="F18" i="13"/>
  <c r="F69" i="13" s="1"/>
  <c r="G15" i="13"/>
  <c r="G69" i="13" s="1"/>
  <c r="G8" i="4"/>
  <c r="F15" i="5"/>
  <c r="F20" i="5" s="1"/>
  <c r="E21" i="3"/>
  <c r="G21" i="3"/>
  <c r="F22" i="18"/>
  <c r="F23" i="18"/>
  <c r="E19" i="3"/>
  <c r="F25" i="37"/>
  <c r="F42" i="37" s="1"/>
  <c r="E68" i="19"/>
  <c r="F24" i="5"/>
  <c r="E29" i="3"/>
  <c r="E9" i="37"/>
  <c r="E26" i="8"/>
  <c r="F16" i="18"/>
  <c r="E7" i="19"/>
  <c r="E17" i="19"/>
  <c r="F5" i="20"/>
  <c r="F13" i="20"/>
  <c r="E6" i="21"/>
  <c r="E20" i="21" s="1"/>
  <c r="F7" i="10"/>
  <c r="F34" i="10"/>
  <c r="F11" i="23"/>
  <c r="F18" i="12"/>
  <c r="F17" i="12"/>
  <c r="F35" i="12" s="1"/>
  <c r="F9" i="12"/>
  <c r="F11" i="13"/>
  <c r="E25" i="37" s="1"/>
  <c r="E42" i="37" s="1"/>
  <c r="F53" i="4"/>
  <c r="F8" i="4"/>
  <c r="F11" i="5"/>
  <c r="E9" i="56"/>
  <c r="E8" i="53"/>
  <c r="E12" i="7"/>
  <c r="E73" i="7"/>
  <c r="F23" i="7"/>
  <c r="F73" i="7" s="1"/>
  <c r="E15" i="3"/>
  <c r="F12" i="36"/>
  <c r="G12" i="36"/>
  <c r="E25" i="8"/>
  <c r="E27" i="8"/>
  <c r="G34" i="10"/>
  <c r="G7" i="10"/>
  <c r="F9" i="37"/>
  <c r="F4" i="37"/>
  <c r="F5" i="37"/>
  <c r="H26" i="37"/>
  <c r="H42" i="37" s="1"/>
  <c r="G20" i="70"/>
  <c r="G8" i="70"/>
  <c r="G8" i="69"/>
  <c r="G17" i="69"/>
  <c r="G45" i="68"/>
  <c r="G12" i="68"/>
  <c r="F12" i="51"/>
  <c r="F23" i="51"/>
  <c r="G12" i="66"/>
  <c r="I23" i="66"/>
  <c r="G28" i="66"/>
  <c r="G17" i="67"/>
  <c r="G9" i="67"/>
  <c r="G19" i="41"/>
  <c r="G11" i="41"/>
  <c r="G14" i="40"/>
  <c r="G16" i="40" s="1"/>
  <c r="G18" i="40" s="1"/>
  <c r="G11" i="40"/>
  <c r="G90" i="18"/>
  <c r="G16" i="18"/>
  <c r="I33" i="11"/>
  <c r="G9" i="11"/>
  <c r="G52" i="11"/>
  <c r="F74" i="19"/>
  <c r="F17" i="19"/>
  <c r="I47" i="20"/>
  <c r="I64" i="20" s="1"/>
  <c r="G64" i="20"/>
  <c r="G13" i="20"/>
  <c r="F84" i="21"/>
  <c r="H8" i="57"/>
  <c r="G8" i="57"/>
  <c r="F8" i="57"/>
  <c r="G51" i="23"/>
  <c r="G11" i="23"/>
  <c r="G35" i="12"/>
  <c r="G9" i="12"/>
  <c r="G11" i="13"/>
  <c r="G53" i="4"/>
  <c r="I4" i="4"/>
  <c r="I8" i="4" s="1"/>
  <c r="G7" i="72"/>
  <c r="G12" i="72"/>
  <c r="I11" i="5"/>
  <c r="G67" i="5"/>
  <c r="I39" i="5"/>
  <c r="I31" i="5"/>
  <c r="G11" i="5"/>
  <c r="F9" i="56"/>
  <c r="F8" i="53"/>
  <c r="H61" i="7"/>
  <c r="H73" i="7" s="1"/>
  <c r="F12" i="7"/>
  <c r="F74" i="8"/>
  <c r="F15" i="3"/>
  <c r="F73" i="3"/>
  <c r="H12" i="2"/>
  <c r="H28" i="2" s="1"/>
  <c r="F28" i="2"/>
  <c r="I17" i="66"/>
  <c r="I12" i="66"/>
  <c r="H28" i="66"/>
  <c r="I15" i="40"/>
  <c r="I9" i="67"/>
  <c r="H17" i="67"/>
  <c r="I17" i="67"/>
  <c r="H12" i="66"/>
  <c r="H14" i="10"/>
  <c r="H13" i="10"/>
  <c r="H12" i="10"/>
  <c r="H34" i="10" s="1"/>
  <c r="G30" i="3"/>
  <c r="G29" i="3"/>
  <c r="G19" i="3"/>
  <c r="G27" i="3" s="1"/>
  <c r="H19" i="41"/>
  <c r="I19" i="41"/>
  <c r="I11" i="41"/>
  <c r="H11" i="41"/>
  <c r="J17" i="67"/>
  <c r="J9" i="67"/>
  <c r="J18" i="40"/>
  <c r="I18" i="40"/>
  <c r="H18" i="40"/>
  <c r="H27" i="18"/>
  <c r="G28" i="19"/>
  <c r="H24" i="20"/>
  <c r="G32" i="21"/>
  <c r="G9" i="71"/>
  <c r="G31" i="8"/>
  <c r="H26" i="18"/>
  <c r="H18" i="18"/>
  <c r="H22" i="18"/>
  <c r="H16" i="18"/>
  <c r="G68" i="19"/>
  <c r="G27" i="19"/>
  <c r="G20" i="19"/>
  <c r="G23" i="19"/>
  <c r="H74" i="19"/>
  <c r="H17" i="19"/>
  <c r="G23" i="51"/>
  <c r="H23" i="51"/>
  <c r="H12" i="51"/>
  <c r="G12" i="51"/>
  <c r="H23" i="20"/>
  <c r="H16" i="20"/>
  <c r="H19" i="20" s="1"/>
  <c r="G25" i="19"/>
  <c r="H23" i="18"/>
  <c r="H24" i="18"/>
  <c r="G24" i="19"/>
  <c r="H21" i="20"/>
  <c r="I13" i="20"/>
  <c r="G31" i="21"/>
  <c r="G29" i="21"/>
  <c r="G28" i="21"/>
  <c r="G27" i="21"/>
  <c r="G6" i="21"/>
  <c r="G20" i="21" s="1"/>
  <c r="H66" i="21"/>
  <c r="H84" i="21" s="1"/>
  <c r="G13" i="57"/>
  <c r="H13" i="57"/>
  <c r="H44" i="11"/>
  <c r="G7" i="54"/>
  <c r="G28" i="8"/>
  <c r="G26" i="8"/>
  <c r="G25" i="8"/>
  <c r="G23" i="8"/>
  <c r="G21" i="8"/>
  <c r="G27" i="8" s="1"/>
  <c r="H19" i="11"/>
  <c r="H13" i="11"/>
  <c r="H9" i="11"/>
  <c r="H7" i="10"/>
  <c r="H20" i="21"/>
  <c r="G30" i="8"/>
  <c r="H15" i="5"/>
  <c r="H22" i="5" s="1"/>
  <c r="G15" i="3"/>
  <c r="G28" i="2"/>
  <c r="G25" i="3"/>
  <c r="G48" i="37"/>
  <c r="H48" i="37"/>
  <c r="H9" i="37"/>
  <c r="G9" i="37"/>
  <c r="H5" i="37"/>
  <c r="G5" i="37"/>
  <c r="H20" i="70"/>
  <c r="H8" i="70"/>
  <c r="H8" i="69"/>
  <c r="H17" i="69"/>
  <c r="H45" i="68"/>
  <c r="H12" i="68"/>
  <c r="H7" i="54"/>
  <c r="I51" i="23"/>
  <c r="H51" i="23"/>
  <c r="H11" i="23"/>
  <c r="I11" i="23"/>
  <c r="I8" i="46"/>
  <c r="H35" i="12"/>
  <c r="I35" i="12"/>
  <c r="H9" i="12"/>
  <c r="I9" i="12"/>
  <c r="H69" i="13"/>
  <c r="I69" i="13"/>
  <c r="H11" i="13"/>
  <c r="G25" i="37" s="1"/>
  <c r="G42" i="37" s="1"/>
  <c r="I11" i="13"/>
  <c r="H53" i="4"/>
  <c r="I53" i="4"/>
  <c r="J4" i="4"/>
  <c r="J8" i="4" s="1"/>
  <c r="I12" i="72"/>
  <c r="I7" i="72"/>
  <c r="H11" i="5"/>
  <c r="H7" i="45"/>
  <c r="I7" i="45"/>
  <c r="G9" i="56"/>
  <c r="H9" i="56"/>
  <c r="G8" i="53"/>
  <c r="H8" i="53"/>
  <c r="G73" i="7"/>
  <c r="I20" i="7"/>
  <c r="I73" i="7" s="1"/>
  <c r="G12" i="7"/>
  <c r="H12" i="7"/>
  <c r="G16" i="8"/>
  <c r="H74" i="8"/>
  <c r="H16" i="8"/>
  <c r="I16" i="8"/>
  <c r="I70" i="8"/>
  <c r="I74" i="8" s="1"/>
  <c r="H73" i="3"/>
  <c r="H15" i="3"/>
  <c r="H12" i="36"/>
  <c r="H8" i="46"/>
  <c r="H8" i="4"/>
  <c r="I52" i="11"/>
  <c r="I9" i="11"/>
  <c r="I34" i="10"/>
  <c r="I7" i="10"/>
  <c r="I90" i="18"/>
  <c r="I16" i="18"/>
  <c r="I48" i="37"/>
  <c r="I66" i="21"/>
  <c r="I84" i="21" s="1"/>
  <c r="J11" i="5"/>
  <c r="I12" i="7"/>
  <c r="I15" i="3"/>
  <c r="I12" i="37"/>
  <c r="I42" i="37" s="1"/>
  <c r="J13" i="11"/>
  <c r="J15" i="11" s="1"/>
  <c r="A33" i="38"/>
  <c r="I68" i="19"/>
  <c r="I74" i="19" s="1"/>
  <c r="J16" i="18"/>
  <c r="J18" i="18"/>
  <c r="J23" i="18" s="1"/>
  <c r="J22" i="18"/>
  <c r="J90" i="18" s="1"/>
  <c r="J24" i="18"/>
  <c r="I20" i="21"/>
  <c r="I8" i="57"/>
  <c r="G17" i="19"/>
  <c r="I17" i="19"/>
  <c r="I13" i="57"/>
  <c r="I7" i="54"/>
  <c r="J64" i="20"/>
  <c r="J9" i="11"/>
  <c r="J34" i="10"/>
  <c r="J7" i="10"/>
  <c r="H6" i="20"/>
  <c r="J13" i="20"/>
  <c r="H5" i="20"/>
  <c r="H13" i="20" s="1"/>
  <c r="J35" i="12"/>
  <c r="J9" i="12"/>
  <c r="J53" i="4"/>
  <c r="J67" i="5"/>
  <c r="J7" i="45"/>
  <c r="I73" i="3"/>
  <c r="I28" i="2"/>
  <c r="J12" i="36"/>
  <c r="C7" i="62"/>
  <c r="J8" i="46"/>
  <c r="C8" i="60"/>
  <c r="C11" i="60" s="1"/>
  <c r="J4" i="38"/>
  <c r="J7" i="38" s="1"/>
  <c r="J10" i="38" s="1"/>
  <c r="C9" i="58"/>
  <c r="C13" i="58" s="1"/>
  <c r="J16" i="11" l="1"/>
  <c r="J17" i="11"/>
  <c r="H17" i="11"/>
  <c r="G74" i="19"/>
  <c r="I28" i="66"/>
  <c r="H15" i="11"/>
  <c r="H52" i="11" s="1"/>
  <c r="H90" i="18"/>
  <c r="F90" i="18"/>
  <c r="H20" i="20"/>
  <c r="H64" i="20" s="1"/>
  <c r="H16" i="11"/>
  <c r="E28" i="2"/>
  <c r="E26" i="3"/>
  <c r="F15" i="11"/>
  <c r="F52" i="11" s="1"/>
  <c r="F16" i="11"/>
  <c r="J52" i="11"/>
  <c r="F17" i="11"/>
  <c r="E25" i="19"/>
  <c r="E23" i="19"/>
  <c r="E74" i="19" s="1"/>
  <c r="E28" i="21"/>
  <c r="E27" i="21"/>
  <c r="E84" i="21" s="1"/>
  <c r="G84" i="21"/>
  <c r="G74" i="8"/>
  <c r="E74" i="8"/>
  <c r="H21" i="5"/>
  <c r="I67" i="5"/>
  <c r="F22" i="5"/>
  <c r="F21" i="5"/>
  <c r="F67" i="5"/>
  <c r="G26" i="3"/>
  <c r="G73" i="3" s="1"/>
  <c r="F51" i="23"/>
  <c r="E9" i="55"/>
  <c r="A28" i="38"/>
  <c r="F19" i="20"/>
  <c r="F20" i="20"/>
  <c r="F21" i="20"/>
  <c r="H20" i="5"/>
  <c r="H67" i="5" s="1"/>
  <c r="E25" i="3"/>
  <c r="E27" i="3"/>
  <c r="F64" i="20" l="1"/>
  <c r="E73" i="3"/>
  <c r="E28" i="38" s="1"/>
  <c r="A30" i="38" s="1"/>
  <c r="C17" i="19"/>
  <c r="D9" i="11"/>
  <c r="I9" i="37"/>
  <c r="I5" i="37"/>
</calcChain>
</file>

<file path=xl/comments1.xml><?xml version="1.0" encoding="utf-8"?>
<comments xmlns="http://schemas.openxmlformats.org/spreadsheetml/2006/main">
  <authors>
    <author>Erin Konkel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Goes straight to PERA now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Small Cities Assist - Streets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Small City Assist - Streets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Police
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Parks and Recreation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Police and Fire
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Police
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SSC Claims Margins, Capital Credits, etc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Hwy 44 Reimbursement</t>
        </r>
      </text>
    </comment>
  </commentList>
</comments>
</file>

<file path=xl/comments10.xml><?xml version="1.0" encoding="utf-8"?>
<comments xmlns="http://schemas.openxmlformats.org/spreadsheetml/2006/main">
  <authors>
    <author>Erin Konkel</author>
  </authors>
  <commentList>
    <comment ref="E3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$4000 Leak Detection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leak the month of June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leak month of June
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Vacuum 5526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Reach In Freezer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Paint both slides
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Paint slides - $2700
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Square Umbrella over slide area</t>
        </r>
      </text>
    </comment>
  </commentList>
</comments>
</file>

<file path=xl/comments11.xml><?xml version="1.0" encoding="utf-8"?>
<comments xmlns="http://schemas.openxmlformats.org/spreadsheetml/2006/main">
  <authors>
    <author>Erin Konkel</author>
  </authors>
  <commentList>
    <comment ref="F4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Lights at Fest Building - Viking Electric
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Floor Scrubber $4000
Water Fountain $2000 ($1000 FB $1000 LC)
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Partitions in Women's Bathroom at Log Cabin
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Chip Sealing at Log Cabin and Outdoor FB Bathroom.  Floor inside Log Cabin 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Chip sealing at Log Cabin Bathrooms and FB Outdoor Bathroom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Install linoleum at Log Cabin
</t>
        </r>
      </text>
    </comment>
  </commentList>
</comments>
</file>

<file path=xl/comments12.xml><?xml version="1.0" encoding="utf-8"?>
<comments xmlns="http://schemas.openxmlformats.org/spreadsheetml/2006/main">
  <authors>
    <author>Erin Konkel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Closed Fund 440 and put in contingency $3608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To Fire Equip Fund per Council Dec 2018
</t>
        </r>
      </text>
    </comment>
  </commentList>
</comments>
</file>

<file path=xl/comments13.xml><?xml version="1.0" encoding="utf-8"?>
<comments xmlns="http://schemas.openxmlformats.org/spreadsheetml/2006/main">
  <authors>
    <author>Erin Konkel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Per Mike Bubany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per Mike Bubany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To equal rev/exp but have in reserves so willl not take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Clothing Allowance
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Transformer Disposal
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Lyn New Computer $2000
Computer Server $10000
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Shop Addition - done in 2018
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light poles
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$2500 New Van Garage Door
</t>
        </r>
      </text>
    </comment>
  </commentList>
</comments>
</file>

<file path=xl/comments14.xml><?xml version="1.0" encoding="utf-8"?>
<comments xmlns="http://schemas.openxmlformats.org/spreadsheetml/2006/main">
  <authors>
    <author>Erin Konkel</author>
  </authors>
  <commentList>
    <comment ref="D5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Tower 877000
1st St SW 730000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Tower
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3000 well 1 building work
200000 1st st nw water main replacement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Watermain by school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Service to SG Soda
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Backup generator
</t>
        </r>
      </text>
    </comment>
  </commentList>
</comments>
</file>

<file path=xl/comments15.xml><?xml version="1.0" encoding="utf-8"?>
<comments xmlns="http://schemas.openxmlformats.org/spreadsheetml/2006/main">
  <authors>
    <author>Erin Konkel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Per Mike Bubany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Per mIke Bubany
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Per Mike Bubany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Done Sept 2019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Done
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Done Sept 2019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Done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 xml:space="preserve">Erin Konkel:
</t>
        </r>
        <r>
          <rPr>
            <sz val="9"/>
            <color indexed="81"/>
            <rFont val="Tahoma"/>
            <family val="2"/>
          </rPr>
          <t>Commercial Park Infrastructure Project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Sewer Plant Roof
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Solid Hauling $4,000
Storm Sewer Repairs at City Shop - 3rd Ave NW $20,000
Lift Station Pumps $20,000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6000 Solid Hauling
25000 Storm Sewer Repairs
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Tank Mixer - $15000
Solid Hauling-  $8000
</t>
        </r>
      </text>
    </comment>
    <comment ref="I6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North Lift Station Pumps 20000
Tank Mixer 15000
Solid Hauling 8000
Baseball Field Lift Station 20,000
TAKE FROM INFRASTRUCTURE
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TV for Sewer Lines
</t>
        </r>
      </text>
    </comment>
  </commentList>
</comments>
</file>

<file path=xl/comments16.xml><?xml version="1.0" encoding="utf-8"?>
<comments xmlns="http://schemas.openxmlformats.org/spreadsheetml/2006/main">
  <authors>
    <author>Erin Konkel</author>
    <author xml:space="preserve"> 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Based Jana and Robert on 20 hours per week or 1040 hours per year
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 xml:space="preserve">Utilities billed by Oliver Project. 
</t>
        </r>
      </text>
    </comment>
  </commentList>
</comments>
</file>

<file path=xl/comments17.xml><?xml version="1.0" encoding="utf-8"?>
<comments xmlns="http://schemas.openxmlformats.org/spreadsheetml/2006/main">
  <authors>
    <author>Erin Konkel</author>
  </authors>
  <commentList>
    <comment ref="D7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floor</t>
        </r>
      </text>
    </comment>
    <comment ref="H8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Offsale Cooler
</t>
        </r>
      </text>
    </comment>
  </commentList>
</comments>
</file>

<file path=xl/comments18.xml><?xml version="1.0" encoding="utf-8"?>
<comments xmlns="http://schemas.openxmlformats.org/spreadsheetml/2006/main">
  <authors>
    <author xml:space="preserve"> 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19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.xml><?xml version="1.0" encoding="utf-8"?>
<comments xmlns="http://schemas.openxmlformats.org/spreadsheetml/2006/main">
  <authors>
    <author>theresa</author>
  </authors>
  <commentList>
    <comment ref="B21" authorId="0" shapeId="0">
      <text>
        <r>
          <rPr>
            <sz val="9"/>
            <color indexed="81"/>
            <rFont val="Tahoma"/>
            <family val="2"/>
          </rPr>
          <t xml:space="preserve">Syttende Mai $1,500
Uffda Fest $1,500
Homecoming 500
Music in the Park $900
</t>
        </r>
      </text>
    </comment>
  </commentList>
</comments>
</file>

<file path=xl/comments20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1.xml><?xml version="1.0" encoding="utf-8"?>
<comments xmlns="http://schemas.openxmlformats.org/spreadsheetml/2006/main">
  <authors>
    <author xml:space="preserve"> </author>
    <author>Erin Konkel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  <comment ref="D12" authorId="1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From 314/318</t>
        </r>
      </text>
    </comment>
  </commentList>
</comments>
</file>

<file path=xl/comments22.xml><?xml version="1.0" encoding="utf-8"?>
<comments xmlns="http://schemas.openxmlformats.org/spreadsheetml/2006/main">
  <authors>
    <author xml:space="preserve"> </author>
    <author>Erin Konkel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No levy for 2020
</t>
        </r>
      </text>
    </comment>
  </commentList>
</comments>
</file>

<file path=xl/comments23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4.xml><?xml version="1.0" encoding="utf-8"?>
<comments xmlns="http://schemas.openxmlformats.org/spreadsheetml/2006/main">
  <authors>
    <author>Erin Konkel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SMIF REV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Ardinger, Storlie, Jahnke, and Motocross Lease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CEDA Quarterly Payments 50,000, Fix Up Fund Projects 10,000, Lawn Services 5,000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CEDA 63087.50
lawn 4536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Yah Sure You Betcha monthly fee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Chamber CONTRACT 10000
website $900
marketing $500</t>
        </r>
      </text>
    </comment>
  </commentList>
</comments>
</file>

<file path=xl/comments25.xml><?xml version="1.0" encoding="utf-8"?>
<comments xmlns="http://schemas.openxmlformats.org/spreadsheetml/2006/main">
  <authors>
    <author>Erin Konkel</author>
    <author>theresa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Fix Up Fund</t>
        </r>
      </text>
    </comment>
    <comment ref="J19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Rick Sundet</t>
        </r>
      </text>
    </comment>
    <comment ref="J55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Hail Damage</t>
        </r>
      </text>
    </comment>
    <comment ref="K57" authorId="1" shapeId="0">
      <text>
        <r>
          <rPr>
            <b/>
            <sz val="9"/>
            <color indexed="81"/>
            <rFont val="Tahoma"/>
            <family val="2"/>
          </rPr>
          <t xml:space="preserve">theresa: </t>
        </r>
        <r>
          <rPr>
            <sz val="9"/>
            <color indexed="81"/>
            <rFont val="Tahoma"/>
            <family val="2"/>
          </rPr>
          <t xml:space="preserve">
need costs for new lights and remote switch</t>
        </r>
      </text>
    </comment>
  </commentList>
</comments>
</file>

<file path=xl/comments26.xml><?xml version="1.0" encoding="utf-8"?>
<comments xmlns="http://schemas.openxmlformats.org/spreadsheetml/2006/main">
  <authors>
    <author>theresa</author>
  </authors>
  <commentList>
    <comment ref="J41" authorId="0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Hail Damage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 xml:space="preserve">theresa: </t>
        </r>
        <r>
          <rPr>
            <sz val="9"/>
            <color indexed="81"/>
            <rFont val="Tahoma"/>
            <family val="2"/>
          </rPr>
          <t xml:space="preserve">
need costs for new lights and remote switch</t>
        </r>
      </text>
    </comment>
  </commentList>
</comments>
</file>

<file path=xl/comments3.xml><?xml version="1.0" encoding="utf-8"?>
<comments xmlns="http://schemas.openxmlformats.org/spreadsheetml/2006/main">
  <authors>
    <author>Erin Konkel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Erin Konkel:
Richards Fee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Steph @ 780 hrs
Dorothy @ 520 hrs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Erin Konkel:
Stephanie and Dorothy - 780 Hrs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100% Employee and 100% Family 2020?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$950 for 2019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 xml:space="preserve">Erin Konkel:
$900 per month max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$66.22 for 2020
100% Employee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$75 Union for 2019
$63.67 ACTUAL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$61.22 per month 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City Hall Handicap Accessible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$750 Mosquito Contract
$5000 Comp Study
$1750 David Drown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Zoning Map $2000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David Drown and Ass Fee of $5750.00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Ann new computer
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Erin New Computer
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 xml:space="preserve">Erin 
Remodel Bathrooms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carpet at City Hall
New outside handicap accessible door at City Hall</t>
        </r>
      </text>
    </comment>
  </commentList>
</comments>
</file>

<file path=xl/comments4.xml><?xml version="1.0" encoding="utf-8"?>
<comments xmlns="http://schemas.openxmlformats.org/spreadsheetml/2006/main">
  <authors>
    <author>Erin Konkel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3 full time officers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Steph at 1300 hours *13.68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Steph - 1300 hrs @ 13.15
PT Officer - 1404 hrs @ 18.58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Steph at 1300 hours *13.68
PT 1400*19.14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100% Employee and  Family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100% employee ($66.22)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Garage Door $2500
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Garage Door $2500
</t>
        </r>
      </text>
    </comment>
  </commentList>
</comments>
</file>

<file path=xl/comments5.xml><?xml version="1.0" encoding="utf-8"?>
<comments xmlns="http://schemas.openxmlformats.org/spreadsheetml/2006/main">
  <authors>
    <author>Erin Konkel</author>
    <author>theresa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Training Reimbursement
</t>
        </r>
      </text>
    </comment>
    <comment ref="B44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moved to Admin
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Moved to Admin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Transfer to Fire Equipment 405 to use in 2019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$20,000 towards turn out gear
</t>
        </r>
      </text>
    </comment>
  </commentList>
</comments>
</file>

<file path=xl/comments6.xml><?xml version="1.0" encoding="utf-8"?>
<comments xmlns="http://schemas.openxmlformats.org/spreadsheetml/2006/main">
  <authors>
    <author>Erin Konkel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$28,000 from Contingency to 405 per council's request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$5000 Gen Equip
$25000 Truck
$20000 Turn Out Gear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$5000 General Equip
$25000 Restricted for Truck Purchase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$25,000 donation from Liquor Store for Jaws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Jaws
Pagers
</t>
        </r>
      </text>
    </comment>
  </commentList>
</comments>
</file>

<file path=xl/comments7.xml><?xml version="1.0" encoding="utf-8"?>
<comments xmlns="http://schemas.openxmlformats.org/spreadsheetml/2006/main">
  <authors>
    <author>Erin Konkel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To fix sirens
</t>
        </r>
      </text>
    </comment>
  </commentList>
</comments>
</file>

<file path=xl/comments8.xml><?xml version="1.0" encoding="utf-8"?>
<comments xmlns="http://schemas.openxmlformats.org/spreadsheetml/2006/main">
  <authors>
    <author>Erin Konkel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Dave - 1040 hrs x 12.99
Gary - ?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$25568 Blazek Cost for Caved in Garage at Mehus property
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Blacktop Sherburne alley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Street Sander
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Reimbursed from Vehicle Repalcement Fund per auditors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Chip Seal and Sidewalk Repair
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3rd Ave Sw - $145,000
1st St NW - $175,000
Sidewalks - $5000
Maple Drive - $50,000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$100,000 2nd Ave NE Street Construction
$5000 Sidewalk repair - one quadrant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1st Ave SE Reconstruct
</t>
        </r>
      </text>
    </comment>
  </commentList>
</comments>
</file>

<file path=xl/comments9.xml><?xml version="1.0" encoding="utf-8"?>
<comments xmlns="http://schemas.openxmlformats.org/spreadsheetml/2006/main">
  <authors>
    <author>Erin Konkel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$1200 Overnight Parking
$5000 Football Field Charge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Ped Lane 1990.69
Trollskogen Bricks 11845.31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3800 Flowers
2000 mulch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$3000 Flowers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Brick Pavers - 3607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Planters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Push mower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Picnic Tables and Benches for Parks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Picnic Tables and Benches for Trollskogen
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Trollskogen Playground Equip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Picnic Tables
Benches for park shelters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Fitness station equip
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Stain for log cabin and gazebo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Net behind home plate $1500
Storm Sewer $15000
Overnight parking sidewalk $1000
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Fountain at Trollskogen $1500
Baseball Field Fence $5000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Baseball field fence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Baseball field fence $5000
Water Fountain $1000 for Trollskogen
</t>
        </r>
      </text>
    </comment>
  </commentList>
</comments>
</file>

<file path=xl/sharedStrings.xml><?xml version="1.0" encoding="utf-8"?>
<sst xmlns="http://schemas.openxmlformats.org/spreadsheetml/2006/main" count="2321" uniqueCount="1298">
  <si>
    <t>12100 Police</t>
  </si>
  <si>
    <t>Fund 615 Electric</t>
  </si>
  <si>
    <t>Fund 620 Water</t>
  </si>
  <si>
    <t>Fund 650 Liquor Store</t>
  </si>
  <si>
    <t>Fund 625 SEWER</t>
  </si>
  <si>
    <t>Communication (320)</t>
  </si>
  <si>
    <t>Professional Services (300)</t>
  </si>
  <si>
    <t>101-11300-301</t>
  </si>
  <si>
    <t>Auditing and Accounting Services</t>
  </si>
  <si>
    <t>101-11300-303</t>
  </si>
  <si>
    <t>Engineering Fees</t>
  </si>
  <si>
    <t>101-11300-304</t>
  </si>
  <si>
    <t>Legal Fees</t>
  </si>
  <si>
    <t>101-11300-309</t>
  </si>
  <si>
    <t>EDP, Software and Design</t>
  </si>
  <si>
    <t>Medical</t>
  </si>
  <si>
    <t>101-11300-311</t>
  </si>
  <si>
    <t>Merchandise for Resale (250)</t>
  </si>
  <si>
    <t>Liquor</t>
  </si>
  <si>
    <t>Beer</t>
  </si>
  <si>
    <t>Wine</t>
  </si>
  <si>
    <t>Soft Drinks and Mix</t>
  </si>
  <si>
    <t>Drink Ingredients (juices, olives)</t>
  </si>
  <si>
    <t>Repair and Maintenance (220-240)</t>
  </si>
  <si>
    <t>Utility Sales/Service - Penalties</t>
  </si>
  <si>
    <t>Miscellaneous Revenue - Interest</t>
  </si>
  <si>
    <t>Miscellaneous Revenue - Contributions</t>
  </si>
  <si>
    <t>Miscellaneous Revenue - Other</t>
  </si>
  <si>
    <t>Miscellaneous Revenue - Franchise Fees</t>
  </si>
  <si>
    <t>Miscellaneous Revenue - NSF Checks</t>
  </si>
  <si>
    <t>Liquor Store Glassware/Supplies</t>
  </si>
  <si>
    <t>Chemicals &amp; Chemical Products</t>
  </si>
  <si>
    <t>Other (including Labor)</t>
  </si>
  <si>
    <t>Office Supplies (200)</t>
  </si>
  <si>
    <t>Accessories (Staplers, etc)</t>
  </si>
  <si>
    <t>Copying Supplies</t>
  </si>
  <si>
    <t>Printed Forms and Paper</t>
  </si>
  <si>
    <t>Envelopes and Letterheads</t>
  </si>
  <si>
    <t>270-00000-36200</t>
  </si>
  <si>
    <t>Misc Revenue - Rents</t>
  </si>
  <si>
    <t>Revenue</t>
  </si>
  <si>
    <t>101-11300-205</t>
  </si>
  <si>
    <t>Other Supplies (Miscellaneous)</t>
  </si>
  <si>
    <t>Worker's Compensation (150-160)</t>
  </si>
  <si>
    <t>Transfer In</t>
  </si>
  <si>
    <t>270-00000-103</t>
  </si>
  <si>
    <t>Temporary Employees (Regular)</t>
  </si>
  <si>
    <t>Part-time Employees (Regular)</t>
  </si>
  <si>
    <t>Freight and Express</t>
  </si>
  <si>
    <t>Police</t>
  </si>
  <si>
    <t>Fire</t>
  </si>
  <si>
    <t>Streets</t>
  </si>
  <si>
    <t>Parks</t>
  </si>
  <si>
    <t>101-12100-101</t>
  </si>
  <si>
    <t>101-12100-102</t>
  </si>
  <si>
    <t>101-11100-123</t>
  </si>
  <si>
    <t>101-11100-949</t>
  </si>
  <si>
    <t>General Misc</t>
  </si>
  <si>
    <t>TOTAL</t>
  </si>
  <si>
    <t>101-11200-151</t>
  </si>
  <si>
    <t>Animal Control</t>
  </si>
  <si>
    <t>Tax Levy</t>
  </si>
  <si>
    <t>TOTAL REVENUES</t>
  </si>
  <si>
    <t>Council</t>
  </si>
  <si>
    <t>TOTAL EXPENDITURES</t>
  </si>
  <si>
    <t>270-00000-217</t>
  </si>
  <si>
    <t>270-00000-221</t>
  </si>
  <si>
    <t>270-00000-311</t>
  </si>
  <si>
    <t>270-00000-361</t>
  </si>
  <si>
    <t>270-00000-362</t>
  </si>
  <si>
    <t>270-00000-381</t>
  </si>
  <si>
    <t>270-00000-382</t>
  </si>
  <si>
    <t>270-00000-383</t>
  </si>
  <si>
    <t>270-00000-384</t>
  </si>
  <si>
    <t>270-00000-385</t>
  </si>
  <si>
    <t>270-00000-901</t>
  </si>
  <si>
    <t>270-00000-902</t>
  </si>
  <si>
    <t>270-00000-903</t>
  </si>
  <si>
    <t>Revenues</t>
  </si>
  <si>
    <t>Expenditures</t>
  </si>
  <si>
    <t>101-11200-103</t>
  </si>
  <si>
    <t>101-11200-122</t>
  </si>
  <si>
    <t>FICA</t>
  </si>
  <si>
    <t>101-11200-123</t>
  </si>
  <si>
    <t>Medicare</t>
  </si>
  <si>
    <t>101-11200-361</t>
  </si>
  <si>
    <t>General Liability</t>
  </si>
  <si>
    <t>101-11200-943</t>
  </si>
  <si>
    <t>101-11200-949</t>
  </si>
  <si>
    <t>Telephone</t>
  </si>
  <si>
    <t>Postage</t>
  </si>
  <si>
    <t>Conference/Training</t>
  </si>
  <si>
    <t>Books/Pamphlets</t>
  </si>
  <si>
    <t>Fees/Dues/Subscr.</t>
  </si>
  <si>
    <t>Other</t>
  </si>
  <si>
    <t>Administration</t>
  </si>
  <si>
    <t>101-11300-101</t>
  </si>
  <si>
    <t>101-11300-102</t>
  </si>
  <si>
    <t>Full Time Employees (Regular)</t>
  </si>
  <si>
    <t>Full Time Employees (Overtime)</t>
  </si>
  <si>
    <t>Part-time Employees</t>
  </si>
  <si>
    <t>101-11300-122</t>
  </si>
  <si>
    <t>101-11300-123</t>
  </si>
  <si>
    <t>101-11300-321</t>
  </si>
  <si>
    <t>101-11300-361</t>
  </si>
  <si>
    <t>101-11300-943</t>
  </si>
  <si>
    <t>101-11300-946</t>
  </si>
  <si>
    <t>Miscellaneous (940-999)</t>
  </si>
  <si>
    <t>Miscellaneous/Other</t>
  </si>
  <si>
    <t>Programming (Library, Dare, etc)</t>
  </si>
  <si>
    <t>Power Purchase</t>
  </si>
  <si>
    <t>Depreciation (920)</t>
  </si>
  <si>
    <t>Rentals and Leases (910)</t>
  </si>
  <si>
    <t>Office Equipment</t>
  </si>
  <si>
    <t>Other Equipment</t>
  </si>
  <si>
    <t>Building Space</t>
  </si>
  <si>
    <t>Repairs and Maintenance - Contractual (900)</t>
  </si>
  <si>
    <t>Buildings</t>
  </si>
  <si>
    <t>Structures</t>
  </si>
  <si>
    <t>Other than Buildings</t>
  </si>
  <si>
    <t>Machinery and Equipment</t>
  </si>
  <si>
    <t>Utility Services (380)</t>
  </si>
  <si>
    <t>Electric</t>
  </si>
  <si>
    <t>Water</t>
  </si>
  <si>
    <t>Gas</t>
  </si>
  <si>
    <t>Refuse</t>
  </si>
  <si>
    <t>Sewer</t>
  </si>
  <si>
    <t>101-11300-381</t>
  </si>
  <si>
    <t>Insurance (360)</t>
  </si>
  <si>
    <t>101-11300-362</t>
  </si>
  <si>
    <t>Property</t>
  </si>
  <si>
    <t>Automotive</t>
  </si>
  <si>
    <t>Dram Shop</t>
  </si>
  <si>
    <t>101-11300-351</t>
  </si>
  <si>
    <t>Printing (350)</t>
  </si>
  <si>
    <t>Legal Notices</t>
  </si>
  <si>
    <t>Advertising (340)</t>
  </si>
  <si>
    <t>Other - Administrative</t>
  </si>
  <si>
    <t>Transportation (330)</t>
  </si>
  <si>
    <t>Travel Expense</t>
  </si>
  <si>
    <t xml:space="preserve">Non-Revenue Refunds &amp; Reimbursements </t>
  </si>
  <si>
    <t>Equipment Parts</t>
  </si>
  <si>
    <t>Tires</t>
  </si>
  <si>
    <t>Building Repair Supplies</t>
  </si>
  <si>
    <t>Street Maintenance Materials</t>
  </si>
  <si>
    <t>Landscaping Materials</t>
  </si>
  <si>
    <t>Sign and Sign Repair Materials</t>
  </si>
  <si>
    <t>Utility System</t>
  </si>
  <si>
    <t>Small Tools and Minor Equipment</t>
  </si>
  <si>
    <t>Operating Supplies (210)</t>
  </si>
  <si>
    <t>101-11300-211</t>
  </si>
  <si>
    <t>Cleaning Supplies</t>
  </si>
  <si>
    <t>Motor Fuels and Vehicle Repair</t>
  </si>
  <si>
    <t>615-00000-35500</t>
  </si>
  <si>
    <t>Misc Revenue</t>
  </si>
  <si>
    <t>625-00000-35200</t>
  </si>
  <si>
    <t>620-00000-35100</t>
  </si>
  <si>
    <t>620-00000-35500</t>
  </si>
  <si>
    <t>620-00000-36500</t>
  </si>
  <si>
    <t>Misc Revenue - Other</t>
  </si>
  <si>
    <t>650-00000-38800</t>
  </si>
  <si>
    <t>Tax Exempt - Misc</t>
  </si>
  <si>
    <t>650-00000-39100</t>
  </si>
  <si>
    <t>Sales - Liquor On</t>
  </si>
  <si>
    <t>650-00000-39200</t>
  </si>
  <si>
    <t>Sales - Liquor Off</t>
  </si>
  <si>
    <t>650-00000-39300</t>
  </si>
  <si>
    <t>Sales - Beer On</t>
  </si>
  <si>
    <t>650-00000-39400</t>
  </si>
  <si>
    <t>Sales - Beer Off</t>
  </si>
  <si>
    <t>650-00000-39500</t>
  </si>
  <si>
    <t>Sales - Chips - Nuts - Pop</t>
  </si>
  <si>
    <t>650-00000-39600</t>
  </si>
  <si>
    <t>Sales - Wine Off</t>
  </si>
  <si>
    <t>Lubricants and Additives</t>
  </si>
  <si>
    <t>270-00000-122</t>
  </si>
  <si>
    <t>270-00000-123</t>
  </si>
  <si>
    <t>270-00000-211</t>
  </si>
  <si>
    <t>101-11100-105</t>
  </si>
  <si>
    <t>Temporary (Regular)</t>
  </si>
  <si>
    <t>101-11100-122</t>
  </si>
  <si>
    <t>101-11300-151</t>
  </si>
  <si>
    <t>Insurance Premiums</t>
  </si>
  <si>
    <t>Employer Paid Insurance (130)</t>
  </si>
  <si>
    <t>101-11300-131</t>
  </si>
  <si>
    <t>Health</t>
  </si>
  <si>
    <t>101-11300-132</t>
  </si>
  <si>
    <t>Dental</t>
  </si>
  <si>
    <t>Contributions for Retirement (120)</t>
  </si>
  <si>
    <t>101-11300-121</t>
  </si>
  <si>
    <t>PERA</t>
  </si>
  <si>
    <t>Police Pension</t>
  </si>
  <si>
    <t>Wages and Salaries (100)</t>
  </si>
  <si>
    <t>101-11300-103</t>
  </si>
  <si>
    <t>Bond Principal</t>
  </si>
  <si>
    <t>Bond Interest</t>
  </si>
  <si>
    <t>Fiscal Charges</t>
  </si>
  <si>
    <t>Misc Other</t>
  </si>
  <si>
    <t>Ad Valorem Taxes</t>
  </si>
  <si>
    <t>Tax Increments</t>
  </si>
  <si>
    <t>Developer Payments</t>
  </si>
  <si>
    <t>Public Donations</t>
  </si>
  <si>
    <t>BUDGET SUMMARY</t>
  </si>
  <si>
    <t>General Fund</t>
  </si>
  <si>
    <t>Tax Abatement</t>
  </si>
  <si>
    <t>101-12100-103</t>
  </si>
  <si>
    <t>101-12100-121</t>
  </si>
  <si>
    <t>101-12100-122</t>
  </si>
  <si>
    <t>101-12100-123</t>
  </si>
  <si>
    <t>101-12100-124</t>
  </si>
  <si>
    <t>101-12100-131</t>
  </si>
  <si>
    <t>101-12100-132</t>
  </si>
  <si>
    <t>101-12100-151</t>
  </si>
  <si>
    <t>101-12100-201</t>
  </si>
  <si>
    <t>101-12100-205</t>
  </si>
  <si>
    <t>101-12100-212</t>
  </si>
  <si>
    <t>101-12100-213</t>
  </si>
  <si>
    <t>101-12100-217</t>
  </si>
  <si>
    <t>101-12100-221</t>
  </si>
  <si>
    <t>101-12100-222</t>
  </si>
  <si>
    <t>101-12100-240</t>
  </si>
  <si>
    <t>101-12100-304</t>
  </si>
  <si>
    <t>101-12100-321</t>
  </si>
  <si>
    <t>101-12100-322</t>
  </si>
  <si>
    <t>101-12100-344</t>
  </si>
  <si>
    <t>101-12100-363</t>
  </si>
  <si>
    <t>101-12100-381</t>
  </si>
  <si>
    <t>101-12100-943</t>
  </si>
  <si>
    <t>101-12100-946</t>
  </si>
  <si>
    <t>101-12100-949</t>
  </si>
  <si>
    <t>101-12100-960</t>
  </si>
  <si>
    <t>101-12200-103</t>
  </si>
  <si>
    <t>101-12200-122</t>
  </si>
  <si>
    <t>101-12200-123</t>
  </si>
  <si>
    <t>101-12200-125</t>
  </si>
  <si>
    <t>101-12200-151</t>
  </si>
  <si>
    <t>101-12200-205</t>
  </si>
  <si>
    <t>101-12200-212</t>
  </si>
  <si>
    <t>101-12200-221</t>
  </si>
  <si>
    <t>101-12200-223</t>
  </si>
  <si>
    <t>101-12200-240</t>
  </si>
  <si>
    <t>101-12200-301</t>
  </si>
  <si>
    <t>101-12200-310</t>
  </si>
  <si>
    <t>101-12200-311</t>
  </si>
  <si>
    <t>101-12200-321</t>
  </si>
  <si>
    <t>101-12200-322</t>
  </si>
  <si>
    <t>101-12200-344</t>
  </si>
  <si>
    <t>101-12200-361</t>
  </si>
  <si>
    <t>101-12200-362</t>
  </si>
  <si>
    <t>101-12200-363</t>
  </si>
  <si>
    <t>101-12200-381</t>
  </si>
  <si>
    <t>101-12200-382</t>
  </si>
  <si>
    <t>101-12200-383</t>
  </si>
  <si>
    <t>101-12200-385</t>
  </si>
  <si>
    <t>101-12200-901</t>
  </si>
  <si>
    <t>101-12200-904</t>
  </si>
  <si>
    <t>101-12200-915</t>
  </si>
  <si>
    <t>101-12200-921</t>
  </si>
  <si>
    <t>101-12200-943</t>
  </si>
  <si>
    <t>101-12200-944</t>
  </si>
  <si>
    <t>101-12200-946</t>
  </si>
  <si>
    <t>101-12200-949</t>
  </si>
  <si>
    <t>101-13100-101</t>
  </si>
  <si>
    <t>101-13100-102</t>
  </si>
  <si>
    <t>101-13100-121</t>
  </si>
  <si>
    <t>101-13100-122</t>
  </si>
  <si>
    <t>101-13100-123</t>
  </si>
  <si>
    <t>101-13100-131</t>
  </si>
  <si>
    <t>101-13100-132</t>
  </si>
  <si>
    <t>101-13100-151</t>
  </si>
  <si>
    <t>101-13100-205</t>
  </si>
  <si>
    <t>101-13100-212</t>
  </si>
  <si>
    <t>101-13100-213</t>
  </si>
  <si>
    <t>101-13100-216</t>
  </si>
  <si>
    <t>101-13100-217</t>
  </si>
  <si>
    <t>101-13100-221</t>
  </si>
  <si>
    <t>101-13100-222</t>
  </si>
  <si>
    <t>101-13100-224</t>
  </si>
  <si>
    <t>101-13100-226</t>
  </si>
  <si>
    <t>101-13100-240</t>
  </si>
  <si>
    <t>101-13100-301</t>
  </si>
  <si>
    <t>101-13100-311</t>
  </si>
  <si>
    <t>101-13100-321</t>
  </si>
  <si>
    <t>101-13100-351</t>
  </si>
  <si>
    <t>101-13100-361</t>
  </si>
  <si>
    <t>101-13100-363</t>
  </si>
  <si>
    <t>101-13100-381</t>
  </si>
  <si>
    <t>101-13100-382</t>
  </si>
  <si>
    <t>101-13100-383</t>
  </si>
  <si>
    <t>101-13100-384</t>
  </si>
  <si>
    <t>101-13100-385</t>
  </si>
  <si>
    <t>101-13100-903</t>
  </si>
  <si>
    <t>101-13100-904</t>
  </si>
  <si>
    <t>101-13100-943</t>
  </si>
  <si>
    <t>101-14100-151</t>
  </si>
  <si>
    <t>101-14100-212</t>
  </si>
  <si>
    <t>101-14100-213</t>
  </si>
  <si>
    <t>101-14100-216</t>
  </si>
  <si>
    <t>101-14100-217</t>
  </si>
  <si>
    <t>101-14100-221</t>
  </si>
  <si>
    <t>101-14100-224</t>
  </si>
  <si>
    <t>101-14100-225</t>
  </si>
  <si>
    <t>101-14100-226</t>
  </si>
  <si>
    <t>101-14100-240</t>
  </si>
  <si>
    <t>101-14100-311</t>
  </si>
  <si>
    <t>101-14100-361</t>
  </si>
  <si>
    <t>101-14100-362</t>
  </si>
  <si>
    <t>101-14100-363</t>
  </si>
  <si>
    <t>101-14100-381</t>
  </si>
  <si>
    <t>101-14100-383</t>
  </si>
  <si>
    <t>101-14100-384</t>
  </si>
  <si>
    <t>101-14100-903</t>
  </si>
  <si>
    <t>101-14100-943</t>
  </si>
  <si>
    <t>101-14100-945</t>
  </si>
  <si>
    <t>101-14100-949</t>
  </si>
  <si>
    <t>101-14200-105</t>
  </si>
  <si>
    <t>101-14200-122</t>
  </si>
  <si>
    <t>101-14200-123</t>
  </si>
  <si>
    <t>101-14200-151</t>
  </si>
  <si>
    <t>101-14200-201</t>
  </si>
  <si>
    <t>101-14200-202</t>
  </si>
  <si>
    <t>101-14200-203</t>
  </si>
  <si>
    <t>101-14200-205</t>
  </si>
  <si>
    <t>101-14200-211</t>
  </si>
  <si>
    <t>101-14200-216</t>
  </si>
  <si>
    <t>101-14200-217</t>
  </si>
  <si>
    <t>101-14200-221</t>
  </si>
  <si>
    <t>101-14200-223</t>
  </si>
  <si>
    <t>101-14200-226</t>
  </si>
  <si>
    <t>101-14200-240</t>
  </si>
  <si>
    <t>101-14200-309</t>
  </si>
  <si>
    <t>101-14200-321</t>
  </si>
  <si>
    <t>101-14200-344</t>
  </si>
  <si>
    <t>101-14200-362</t>
  </si>
  <si>
    <t>101-14200-381</t>
  </si>
  <si>
    <t>101-14200-382</t>
  </si>
  <si>
    <t>101-14200-383</t>
  </si>
  <si>
    <t>101-14200-384</t>
  </si>
  <si>
    <t>101-14200-385</t>
  </si>
  <si>
    <t>101-14200-902</t>
  </si>
  <si>
    <t>101-14200-903</t>
  </si>
  <si>
    <t>101-14200-943</t>
  </si>
  <si>
    <t>101-14200-946</t>
  </si>
  <si>
    <t>101-14200-949</t>
  </si>
  <si>
    <t>101-14300-105</t>
  </si>
  <si>
    <t>101-14300-122</t>
  </si>
  <si>
    <t>101-14300-123</t>
  </si>
  <si>
    <t>101-14300-202</t>
  </si>
  <si>
    <t>101-14300-217</t>
  </si>
  <si>
    <t>101-14300-344</t>
  </si>
  <si>
    <t>101-14300-918</t>
  </si>
  <si>
    <t>615-00000-101</t>
  </si>
  <si>
    <t>615-00000-102</t>
  </si>
  <si>
    <t>615-00000-121</t>
  </si>
  <si>
    <t>615-00000-122</t>
  </si>
  <si>
    <t>615-00000-123</t>
  </si>
  <si>
    <t>615-00000-131</t>
  </si>
  <si>
    <t>615-00000-132</t>
  </si>
  <si>
    <t>615-00000-151</t>
  </si>
  <si>
    <t>615-00000-203</t>
  </si>
  <si>
    <t>615-00000-204</t>
  </si>
  <si>
    <t>615-00000-205</t>
  </si>
  <si>
    <t>615-00000-212</t>
  </si>
  <si>
    <t>615-00000-217</t>
  </si>
  <si>
    <t>615-00000-221</t>
  </si>
  <si>
    <t>615-00000-227</t>
  </si>
  <si>
    <t>615-00000-240</t>
  </si>
  <si>
    <t>615-00000-301</t>
  </si>
  <si>
    <t>615-00000-303</t>
  </si>
  <si>
    <t>615-00000-309</t>
  </si>
  <si>
    <t>615-00000-321</t>
  </si>
  <si>
    <t>615-00000-322</t>
  </si>
  <si>
    <t>615-00000-361</t>
  </si>
  <si>
    <t>615-00000-362</t>
  </si>
  <si>
    <t>615-00000-363</t>
  </si>
  <si>
    <t>615-00000-903</t>
  </si>
  <si>
    <t>615-00000-943</t>
  </si>
  <si>
    <t>615-00000-946</t>
  </si>
  <si>
    <t>615-00000-949</t>
  </si>
  <si>
    <t>615-00000-980</t>
  </si>
  <si>
    <t>620-00000-101</t>
  </si>
  <si>
    <t>620-00000-102</t>
  </si>
  <si>
    <t>620-00000-121</t>
  </si>
  <si>
    <t>620-00000-122</t>
  </si>
  <si>
    <t>620-00000-123</t>
  </si>
  <si>
    <t>620-00000-131</t>
  </si>
  <si>
    <t>620-00000-132</t>
  </si>
  <si>
    <t>620-00000-151</t>
  </si>
  <si>
    <t>620-00000-216</t>
  </si>
  <si>
    <t>620-00000-217</t>
  </si>
  <si>
    <t>620-00000-221</t>
  </si>
  <si>
    <t>620-00000-303</t>
  </si>
  <si>
    <t>620-00000-321</t>
  </si>
  <si>
    <t>620-00000-351</t>
  </si>
  <si>
    <t>620-00000-381</t>
  </si>
  <si>
    <t>620-00000-903</t>
  </si>
  <si>
    <t>620-00000-943</t>
  </si>
  <si>
    <t>620-00000-946</t>
  </si>
  <si>
    <t>625-00000-101</t>
  </si>
  <si>
    <t>625-00000-102</t>
  </si>
  <si>
    <t>625-00000-121</t>
  </si>
  <si>
    <t>625-00000-122</t>
  </si>
  <si>
    <t>625-00000-123</t>
  </si>
  <si>
    <t>625-00000-131</t>
  </si>
  <si>
    <t>625-00000-132</t>
  </si>
  <si>
    <t>625-00000-151</t>
  </si>
  <si>
    <t>625-00000-212</t>
  </si>
  <si>
    <t>625-00000-213</t>
  </si>
  <si>
    <t>625-00000-216</t>
  </si>
  <si>
    <t>625-00000-217</t>
  </si>
  <si>
    <t>625-00000-221</t>
  </si>
  <si>
    <t>625-00000-240</t>
  </si>
  <si>
    <t>625-00000-301</t>
  </si>
  <si>
    <t>625-00000-303</t>
  </si>
  <si>
    <t>625-00000-311</t>
  </si>
  <si>
    <t>625-00000-321</t>
  </si>
  <si>
    <t>625-00000-362</t>
  </si>
  <si>
    <t>625-00000-363</t>
  </si>
  <si>
    <t>625-00000-381</t>
  </si>
  <si>
    <t>625-00000-382</t>
  </si>
  <si>
    <t>625-00000-383</t>
  </si>
  <si>
    <t>625-00000-901</t>
  </si>
  <si>
    <t>625-00000-902</t>
  </si>
  <si>
    <t>625-00000-903</t>
  </si>
  <si>
    <t>625-00000-904</t>
  </si>
  <si>
    <t>625-00000-943</t>
  </si>
  <si>
    <t>625-00000-946</t>
  </si>
  <si>
    <t>650-00000-101</t>
  </si>
  <si>
    <t>650-00000-103</t>
  </si>
  <si>
    <t>650-00000-121</t>
  </si>
  <si>
    <t>650-00000-122</t>
  </si>
  <si>
    <t>650-00000-123</t>
  </si>
  <si>
    <t>650-00000-131</t>
  </si>
  <si>
    <t>650-00000-151</t>
  </si>
  <si>
    <t>650-00000-201</t>
  </si>
  <si>
    <t>650-00000-202</t>
  </si>
  <si>
    <t>650-00000-205</t>
  </si>
  <si>
    <t>650-00000-211</t>
  </si>
  <si>
    <t xml:space="preserve">650-00000-214 </t>
  </si>
  <si>
    <t>650-00000-216</t>
  </si>
  <si>
    <t>650-00000-217</t>
  </si>
  <si>
    <t>650-00000-221</t>
  </si>
  <si>
    <t>650-00000-223</t>
  </si>
  <si>
    <t>650-00000-226</t>
  </si>
  <si>
    <t>650-00000-240</t>
  </si>
  <si>
    <t>650-00000-251</t>
  </si>
  <si>
    <t>650-00000-252</t>
  </si>
  <si>
    <t>650-00000-253</t>
  </si>
  <si>
    <t>650-00000-254</t>
  </si>
  <si>
    <t>650-00000-255</t>
  </si>
  <si>
    <t>650-00000-301</t>
  </si>
  <si>
    <t>650-00000-321</t>
  </si>
  <si>
    <t>650-00000-333</t>
  </si>
  <si>
    <t>650-00000-344</t>
  </si>
  <si>
    <t>650-00000-361</t>
  </si>
  <si>
    <t>650-00000-362</t>
  </si>
  <si>
    <t>650-00000-364</t>
  </si>
  <si>
    <t>650-00000-381</t>
  </si>
  <si>
    <t>650-00000-382</t>
  </si>
  <si>
    <t>650-00000-383</t>
  </si>
  <si>
    <t>650-00000-384</t>
  </si>
  <si>
    <t>650-00000-385</t>
  </si>
  <si>
    <t>650-00000-901</t>
  </si>
  <si>
    <t>650-00000-943</t>
  </si>
  <si>
    <t>650-00000-946</t>
  </si>
  <si>
    <t>650-00000-949</t>
  </si>
  <si>
    <t>Fest Building</t>
  </si>
  <si>
    <t>Property Tax - General Revenue</t>
  </si>
  <si>
    <t>Local Government Aid - General</t>
  </si>
  <si>
    <t>License &amp; Permits - Liquor</t>
  </si>
  <si>
    <t>License &amp; Permits - Building/Zoning</t>
  </si>
  <si>
    <t>License &amp; Permits - Other</t>
  </si>
  <si>
    <t>License &amp; Permits - Animal</t>
  </si>
  <si>
    <t>Houston County Funding</t>
  </si>
  <si>
    <t>Inter-Governmental - State Grant</t>
  </si>
  <si>
    <t>Inter-Governmental - State Police Aid</t>
  </si>
  <si>
    <t>Charges for Service - Other</t>
  </si>
  <si>
    <t>Fines &amp; Forfeits - Court Fines</t>
  </si>
  <si>
    <t>Utility Sales/Service</t>
  </si>
  <si>
    <t>Charges for Service - Aquatic Center</t>
  </si>
  <si>
    <t>11300 Administration</t>
  </si>
  <si>
    <t>11200 Council</t>
  </si>
  <si>
    <t>11100 Elections</t>
  </si>
  <si>
    <t>General Fund Revenues</t>
  </si>
  <si>
    <t>Contributions to Retirement (120)</t>
  </si>
  <si>
    <t>Insurance Premium</t>
  </si>
  <si>
    <t>12200 Fire</t>
  </si>
  <si>
    <t>14100 Parks</t>
  </si>
  <si>
    <t>Transfer Out (720)</t>
  </si>
  <si>
    <t>To General Fund</t>
  </si>
  <si>
    <t>Debt Service Fund</t>
  </si>
  <si>
    <t>CITY OF SPRING GROVE</t>
  </si>
  <si>
    <t>101-14100-901</t>
  </si>
  <si>
    <t>101-13100-105</t>
  </si>
  <si>
    <t>101-11300-344</t>
  </si>
  <si>
    <t>Capital Outlay (500)</t>
  </si>
  <si>
    <t>101-12200-580</t>
  </si>
  <si>
    <t>Capital Expense (500)</t>
  </si>
  <si>
    <t>Communications</t>
  </si>
  <si>
    <t>650-00000-520</t>
  </si>
  <si>
    <t>Buildings and Structures</t>
  </si>
  <si>
    <t>650-00000-530</t>
  </si>
  <si>
    <t>Improvements - Other</t>
  </si>
  <si>
    <t>101-12100-361</t>
  </si>
  <si>
    <t>101-12100-362</t>
  </si>
  <si>
    <t>Building</t>
  </si>
  <si>
    <t>Budget</t>
  </si>
  <si>
    <t>101-14200-225</t>
  </si>
  <si>
    <t>101-14200-311</t>
  </si>
  <si>
    <t>101-14200-254</t>
  </si>
  <si>
    <t>101-14200-257</t>
  </si>
  <si>
    <t>620-00000-363</t>
  </si>
  <si>
    <t>Vehicle</t>
  </si>
  <si>
    <t>101-11200-946</t>
  </si>
  <si>
    <t>101-11300-105</t>
  </si>
  <si>
    <t>101-11300-217</t>
  </si>
  <si>
    <t>101-11300-221</t>
  </si>
  <si>
    <t>101-11300-384</t>
  </si>
  <si>
    <t>101-11300-570</t>
  </si>
  <si>
    <t>Office Equipment and Furnishings</t>
  </si>
  <si>
    <t>101-11300-901</t>
  </si>
  <si>
    <t>101-12100-570</t>
  </si>
  <si>
    <t>Other (including labor)</t>
  </si>
  <si>
    <t>Other (Including Labor)</t>
  </si>
  <si>
    <t>101-14100-211</t>
  </si>
  <si>
    <t>101-14100-223</t>
  </si>
  <si>
    <t>101-14100-382</t>
  </si>
  <si>
    <t>101-14100-385</t>
  </si>
  <si>
    <t>101-12200-211</t>
  </si>
  <si>
    <t>Accessories</t>
  </si>
  <si>
    <t>101-12200-217</t>
  </si>
  <si>
    <t>101-13100-103</t>
  </si>
  <si>
    <t>Part Time Employees</t>
  </si>
  <si>
    <t>101-11200-990</t>
  </si>
  <si>
    <t>101-11200-331</t>
  </si>
  <si>
    <t>101-11300-226</t>
  </si>
  <si>
    <t>Sign Repair</t>
  </si>
  <si>
    <t>Programming</t>
  </si>
  <si>
    <t>Conferences</t>
  </si>
  <si>
    <t>101-14100-560</t>
  </si>
  <si>
    <t>Furniture</t>
  </si>
  <si>
    <t>Ice Cream</t>
  </si>
  <si>
    <t>Soft Drinks</t>
  </si>
  <si>
    <t>101-14300-945</t>
  </si>
  <si>
    <t>101-14300-943</t>
  </si>
  <si>
    <t>Dues, Fees</t>
  </si>
  <si>
    <t>Other Supplies</t>
  </si>
  <si>
    <t>Landscaping</t>
  </si>
  <si>
    <t>270-00000-151</t>
  </si>
  <si>
    <t>270-00000-223</t>
  </si>
  <si>
    <t>Building Repair</t>
  </si>
  <si>
    <t>270-00000-321</t>
  </si>
  <si>
    <t>Workman's Compensation</t>
  </si>
  <si>
    <t>Unemployment Compensation</t>
  </si>
  <si>
    <t>620-00000-322</t>
  </si>
  <si>
    <t>620-00000-224</t>
  </si>
  <si>
    <t>Street Maintenance</t>
  </si>
  <si>
    <t>620-00000-212</t>
  </si>
  <si>
    <t>Motor Fuels</t>
  </si>
  <si>
    <t>Pera Rate Increase Aid</t>
  </si>
  <si>
    <t>Charges for Service - Parks</t>
  </si>
  <si>
    <t>615-00000-31600</t>
  </si>
  <si>
    <t>License &amp; Permits</t>
  </si>
  <si>
    <t>615-00000-35100</t>
  </si>
  <si>
    <t>615-00000-37300</t>
  </si>
  <si>
    <t>620-00000-31600</t>
  </si>
  <si>
    <t>270-00000-36400</t>
  </si>
  <si>
    <t>Misc Revenue - Contributions</t>
  </si>
  <si>
    <t>625-00000-31600</t>
  </si>
  <si>
    <t>License &amp; Permit</t>
  </si>
  <si>
    <t>625-00000-35500</t>
  </si>
  <si>
    <t>650-00000-331</t>
  </si>
  <si>
    <t>620-00000-901</t>
  </si>
  <si>
    <t>615-00000-901</t>
  </si>
  <si>
    <t>Contributions</t>
  </si>
  <si>
    <t>615-00000-490</t>
  </si>
  <si>
    <t>Expenses</t>
  </si>
  <si>
    <t>Old Pool</t>
  </si>
  <si>
    <t>Local Government Aid - State Fire Aid</t>
  </si>
  <si>
    <t>101-14200-260</t>
  </si>
  <si>
    <t>Copies and Miscellaneous</t>
  </si>
  <si>
    <t>Miscellaneous</t>
  </si>
  <si>
    <t>14200 SWIM Center</t>
  </si>
  <si>
    <t>Fund 610 Cable TV</t>
  </si>
  <si>
    <t>610-00000-103</t>
  </si>
  <si>
    <t>610-00000-122</t>
  </si>
  <si>
    <t>610-00000-123</t>
  </si>
  <si>
    <t>610-00000-205</t>
  </si>
  <si>
    <t>610-00000-217</t>
  </si>
  <si>
    <t>610-00000-580</t>
  </si>
  <si>
    <t>610-00000-946</t>
  </si>
  <si>
    <t>610-00000-949</t>
  </si>
  <si>
    <t>610-00000-36504</t>
  </si>
  <si>
    <t>101-14600-311</t>
  </si>
  <si>
    <t>Professional Services - Other</t>
  </si>
  <si>
    <t>Transfer In From 490</t>
  </si>
  <si>
    <t>Awards</t>
  </si>
  <si>
    <t>101-13100-303</t>
  </si>
  <si>
    <t>Transfer in from 480</t>
  </si>
  <si>
    <t>Professional Services</t>
  </si>
  <si>
    <t>615-00000-36500</t>
  </si>
  <si>
    <t>146000 Old Pool</t>
  </si>
  <si>
    <t>12600 Animal Control</t>
  </si>
  <si>
    <t>101-12600-311</t>
  </si>
  <si>
    <t>630-00000-103</t>
  </si>
  <si>
    <t>630-00000-122</t>
  </si>
  <si>
    <t>630-00000-121</t>
  </si>
  <si>
    <t>630-00000-123</t>
  </si>
  <si>
    <t>630-00000-131</t>
  </si>
  <si>
    <t>630-00000-132</t>
  </si>
  <si>
    <t>630-00000-151</t>
  </si>
  <si>
    <t>630-00000-301</t>
  </si>
  <si>
    <t>630-00000-362</t>
  </si>
  <si>
    <t>630-00000-913</t>
  </si>
  <si>
    <t>630-00000-917</t>
  </si>
  <si>
    <t>630-00000-918</t>
  </si>
  <si>
    <t>Office Suppllies (200)</t>
  </si>
  <si>
    <t>630-00000-201</t>
  </si>
  <si>
    <t>630-00000-202</t>
  </si>
  <si>
    <t>630-00000-203</t>
  </si>
  <si>
    <t>Printed Forms</t>
  </si>
  <si>
    <t>630-00000-205</t>
  </si>
  <si>
    <t>Operation Supplies (210)</t>
  </si>
  <si>
    <t>630-00000-217</t>
  </si>
  <si>
    <t>630-00000-943</t>
  </si>
  <si>
    <t>Fees/Dues/Subscriptions</t>
  </si>
  <si>
    <t>630-00000-945</t>
  </si>
  <si>
    <t>630-00000-946</t>
  </si>
  <si>
    <t>630-00000-960</t>
  </si>
  <si>
    <t>630-00000-321</t>
  </si>
  <si>
    <t>630-00000-344</t>
  </si>
  <si>
    <t>630-00000-560</t>
  </si>
  <si>
    <t>Furniture and Fixtures</t>
  </si>
  <si>
    <t>Repairs and Maint. Contractual (900)</t>
  </si>
  <si>
    <t>630-00000-32700</t>
  </si>
  <si>
    <t>630-00000-32022</t>
  </si>
  <si>
    <t>630-00000-36400</t>
  </si>
  <si>
    <t>101-11200-304</t>
  </si>
  <si>
    <t>610-00000-311</t>
  </si>
  <si>
    <t>Small Tools</t>
  </si>
  <si>
    <t>Fund 314 GO 2005A</t>
  </si>
  <si>
    <t>Bond Proceeds</t>
  </si>
  <si>
    <t>615-00000-383</t>
  </si>
  <si>
    <t>650-00000-142</t>
  </si>
  <si>
    <t>650-00000-132</t>
  </si>
  <si>
    <t>Minimum Support Requirement</t>
  </si>
  <si>
    <t>270-00000-560</t>
  </si>
  <si>
    <t>650-00000-311</t>
  </si>
  <si>
    <t>615-00000-570</t>
  </si>
  <si>
    <t>Part Time Employees (Regular)</t>
  </si>
  <si>
    <t>Election</t>
  </si>
  <si>
    <t>490 Water Infrastructure</t>
  </si>
  <si>
    <t>480 Sewer Infrastructure</t>
  </si>
  <si>
    <t>101-11100-217</t>
  </si>
  <si>
    <t>630-00000-901</t>
  </si>
  <si>
    <t xml:space="preserve">Buildings </t>
  </si>
  <si>
    <t>101-12100-311</t>
  </si>
  <si>
    <t>101-13100-901</t>
  </si>
  <si>
    <t>101-14300-240</t>
  </si>
  <si>
    <t>Small Tool</t>
  </si>
  <si>
    <t>615-00000-384</t>
  </si>
  <si>
    <t>Fund 315 Pool Bonds 2012</t>
  </si>
  <si>
    <t>101-14200-901</t>
  </si>
  <si>
    <t>Emergency Mgmt</t>
  </si>
  <si>
    <t>Property Tax - Penalty &amp; Interest</t>
  </si>
  <si>
    <t>Market VCA - Fire truck</t>
  </si>
  <si>
    <t>License &amp; Permits - Cigarette</t>
  </si>
  <si>
    <t>Other Grants</t>
  </si>
  <si>
    <t>Non-Revenue - Deposits</t>
  </si>
  <si>
    <t>101-14200-106</t>
  </si>
  <si>
    <t>Temporary Employees (Overtime)</t>
  </si>
  <si>
    <t>101-14200-580</t>
  </si>
  <si>
    <t>101-14200-520</t>
  </si>
  <si>
    <t>101-14200-570</t>
  </si>
  <si>
    <t>Office Equipment/Furniture</t>
  </si>
  <si>
    <t>610-00000-960</t>
  </si>
  <si>
    <t>610-00000-331</t>
  </si>
  <si>
    <t>610-00000-943</t>
  </si>
  <si>
    <t>Dues, Fees, Subscriptions</t>
  </si>
  <si>
    <t>610-00000-309</t>
  </si>
  <si>
    <t>EDP, Software</t>
  </si>
  <si>
    <t>615-00000-913</t>
  </si>
  <si>
    <t>615-00000-103</t>
  </si>
  <si>
    <t>Unemployment Compensation (140)</t>
  </si>
  <si>
    <t>615-00000-35600</t>
  </si>
  <si>
    <t>615-00000-36100</t>
  </si>
  <si>
    <t>Misc Revenue - Interest</t>
  </si>
  <si>
    <t>615-00000-36800</t>
  </si>
  <si>
    <t>Misc Revenue - NSF</t>
  </si>
  <si>
    <t>615-00000-37400</t>
  </si>
  <si>
    <t>Non-Revenue (Tri-County)</t>
  </si>
  <si>
    <t>625-00000-35100</t>
  </si>
  <si>
    <t>625-00000-39000</t>
  </si>
  <si>
    <t>Transfers (490)</t>
  </si>
  <si>
    <t>625-00000-490</t>
  </si>
  <si>
    <t>Transfer Out</t>
  </si>
  <si>
    <t>625-00000-322</t>
  </si>
  <si>
    <t>Interest</t>
  </si>
  <si>
    <t>620-00000-902</t>
  </si>
  <si>
    <t>Transfer (490)</t>
  </si>
  <si>
    <t>620-00000-490</t>
  </si>
  <si>
    <t>620-00000-240</t>
  </si>
  <si>
    <t>630-00000-36100</t>
  </si>
  <si>
    <t>650-00000-903</t>
  </si>
  <si>
    <t>650-00000-433</t>
  </si>
  <si>
    <t>Advertising</t>
  </si>
  <si>
    <t>Advertising (433)</t>
  </si>
  <si>
    <t>650-00000-915</t>
  </si>
  <si>
    <t>650-00000-309</t>
  </si>
  <si>
    <t>EDP/Software</t>
  </si>
  <si>
    <t>650-00000-104</t>
  </si>
  <si>
    <t>Part-time Employees (Overtime)</t>
  </si>
  <si>
    <t>650-00000-257</t>
  </si>
  <si>
    <t>Ice Cream/Pop</t>
  </si>
  <si>
    <t>270-00000-904</t>
  </si>
  <si>
    <t>Machinery and Equip</t>
  </si>
  <si>
    <t>Transfer In (ELECTRIC)</t>
  </si>
  <si>
    <t>Transfer In (WATER SEWER)</t>
  </si>
  <si>
    <t>Syttende Mai</t>
  </si>
  <si>
    <t>Uffda Fest</t>
  </si>
  <si>
    <t>Music In The Park</t>
  </si>
  <si>
    <t>101-11300-142</t>
  </si>
  <si>
    <t>Unemployment Payments</t>
  </si>
  <si>
    <t>(TIF - Nerstad/Four Seasons)</t>
  </si>
  <si>
    <t>Transfer in from Fund 430</t>
  </si>
  <si>
    <t>NOTE:  The tax money which comes in from the development goes directly to pay the bonds where were issued to pay for the</t>
  </si>
  <si>
    <t>infrastructure installed with this development.  This levy is not included in the general fund tax levy.  Ad valorem taxes are required</t>
  </si>
  <si>
    <t xml:space="preserve">if there is a shortfall between funds collected and money required to pay the bond interest.  The developer paid his share up front. </t>
  </si>
  <si>
    <t>NOTE:  The total principal and interest payment for 2014 is $123,991.  This will be paid by transferring $23,991 from 430 and assessing a tax levy</t>
  </si>
  <si>
    <t xml:space="preserve">of $100,000.  Fund 430 is frozen for any expenditures except for transfers in each year toward this bond debt.  Up to $25,000 may be transferred in  </t>
  </si>
  <si>
    <t>each year for the life of the bond to reduce the tax levy required.</t>
  </si>
  <si>
    <t>Special Assessments</t>
  </si>
  <si>
    <t>(Bender Development Bond)</t>
  </si>
  <si>
    <t>Fund 354 HWY 44 BOND 2013</t>
  </si>
  <si>
    <t>Transfer in Sewer</t>
  </si>
  <si>
    <t>Transfer in Water</t>
  </si>
  <si>
    <t>interest payment was paid out of the Hwy 44 bond proceeds as well as the Feb 1, 2014 interest payment.  (We are paying</t>
  </si>
  <si>
    <t>future interest on the current interest payments.)  Beginning in 2015, the Feb 1st payment is interest and principal and the August 1st payment is</t>
  </si>
  <si>
    <t>interest.  Beginning August 1, 2014 payments are being made from ad valorem taxes and transfers from utilities.</t>
  </si>
  <si>
    <t>NOTE:  This budget has to pay for the August 1, 2014 interest payment and the Feb 1, 2015 interest and principal payment.  The August 1, 2013</t>
  </si>
  <si>
    <t>Other (Busing)</t>
  </si>
  <si>
    <t>Other - Security Cameras</t>
  </si>
  <si>
    <t>Miscellaneous Revenue - Rural Fire</t>
  </si>
  <si>
    <t>LGA</t>
  </si>
  <si>
    <t>Gen Fund Transfer to Contingency Fund</t>
  </si>
  <si>
    <t>12300 Ambulance</t>
  </si>
  <si>
    <t>101-12300-720</t>
  </si>
  <si>
    <t>Operating</t>
  </si>
  <si>
    <t>Total</t>
  </si>
  <si>
    <t>Other L-T Obligation</t>
  </si>
  <si>
    <t>280 Industrial Dvlp</t>
  </si>
  <si>
    <t>280-00000-949</t>
  </si>
  <si>
    <t>Ambulance</t>
  </si>
  <si>
    <t>Temp Employees (Coaches)</t>
  </si>
  <si>
    <t>Inter-Government - Other</t>
  </si>
  <si>
    <t>Homecoming</t>
  </si>
  <si>
    <t>Debt Service Funds Summary</t>
  </si>
  <si>
    <t>Total Expenditures</t>
  </si>
  <si>
    <t xml:space="preserve">Attachments:  Payment schedule for each bond.  </t>
  </si>
  <si>
    <t>Recreation</t>
  </si>
  <si>
    <t>14300 Recreation</t>
  </si>
  <si>
    <t>Temp Employees (Ice Rink)</t>
  </si>
  <si>
    <t>Other (Non-Sports)</t>
  </si>
  <si>
    <t>Contributions - SGC</t>
  </si>
  <si>
    <t>12500 Emergency Mgmt</t>
  </si>
  <si>
    <t>101-12500-946</t>
  </si>
  <si>
    <t>101-12500-221</t>
  </si>
  <si>
    <t>Surplus/Deficit</t>
  </si>
  <si>
    <t>**  The ambulance service is managed by the independent Ambulance Board.  The city has representation on the Board.  The</t>
  </si>
  <si>
    <t>**  The Deputy Clerk's salary has been moved here from utility funds but money will still have to be transferred from utility funds to cover it.  This change</t>
  </si>
  <si>
    <t>will simplify accounting.</t>
  </si>
  <si>
    <t>Engineering Fees/Testing</t>
  </si>
  <si>
    <t>Pool Bonds (Fund 315)</t>
  </si>
  <si>
    <t>Street Bonds (Fund 354)</t>
  </si>
  <si>
    <t xml:space="preserve">Payment from </t>
  </si>
  <si>
    <t>SELCO/Houston</t>
  </si>
  <si>
    <t>County</t>
  </si>
  <si>
    <t>TOTAL DEBT SERVICE EXPENDITURES</t>
  </si>
  <si>
    <t xml:space="preserve">610-00000-121 </t>
  </si>
  <si>
    <t>PASS THROUGH PAYMENTS</t>
  </si>
  <si>
    <t>State of MN</t>
  </si>
  <si>
    <t>Swim Ctr</t>
  </si>
  <si>
    <t>Fund</t>
  </si>
  <si>
    <t>101-12200-945</t>
  </si>
  <si>
    <t>101-12500-321</t>
  </si>
  <si>
    <t>**Most of the parks expenses, except for special projects, are rolled into 13100 - Streets and Park Maintenance</t>
  </si>
  <si>
    <t>610-00000-344</t>
  </si>
  <si>
    <t>615-00000-351</t>
  </si>
  <si>
    <t>620-00000-36100</t>
  </si>
  <si>
    <t>425 Streets Infrastructure</t>
  </si>
  <si>
    <t>450 Electric Infrastructure</t>
  </si>
  <si>
    <t>625-00000-361</t>
  </si>
  <si>
    <t>650-00000-36200</t>
  </si>
  <si>
    <t>650-00000-36500</t>
  </si>
  <si>
    <t>Misc Rev - Other</t>
  </si>
  <si>
    <t>Misc Rev - Rents</t>
  </si>
  <si>
    <t>650-00000-36700</t>
  </si>
  <si>
    <t>Misc Rec - Fest Bld Bar</t>
  </si>
  <si>
    <t>650-00000-560</t>
  </si>
  <si>
    <t>Fund 630 Library</t>
  </si>
  <si>
    <t>Fund 460 Contingency</t>
  </si>
  <si>
    <t>Fund 435 Capital Equipment</t>
  </si>
  <si>
    <t>(Formerly Vehicle Depreciation)</t>
  </si>
  <si>
    <t>Industrial Development (EDA)</t>
  </si>
  <si>
    <t>Gen Fund Transfer to Capital Equipment</t>
  </si>
  <si>
    <t>Transfer in from 101</t>
  </si>
  <si>
    <t>DEBT SERVICE FUNDS</t>
  </si>
  <si>
    <t>Actuals</t>
  </si>
  <si>
    <t>270-00000-36506</t>
  </si>
  <si>
    <t>Misc Revenue - Hail Damage</t>
  </si>
  <si>
    <t>270-00000-121</t>
  </si>
  <si>
    <t>(EDA)</t>
  </si>
  <si>
    <t>Other (Lawn Service)</t>
  </si>
  <si>
    <t>Fund 270 Fest Building/</t>
  </si>
  <si>
    <t>Log Cabin</t>
  </si>
  <si>
    <t>Other Gen Fund Revs</t>
  </si>
  <si>
    <t>(see Rev Page for Detail)</t>
  </si>
  <si>
    <t>Gen Fund Levy</t>
  </si>
  <si>
    <t>Debt Service Levy</t>
  </si>
  <si>
    <t>Library Levy</t>
  </si>
  <si>
    <t>TOTAL LEVY</t>
  </si>
  <si>
    <t>Total Ad Valorem Tax from Tax Levy:</t>
  </si>
  <si>
    <t>Tax Rate Projected</t>
  </si>
  <si>
    <t>Electric Transfer In</t>
  </si>
  <si>
    <t>Capacity (After TIF)</t>
  </si>
  <si>
    <t>Transfer In From 101</t>
  </si>
  <si>
    <t>Other  (Set Aside for New Equip)</t>
  </si>
  <si>
    <t>Inter-Government-Other (City Funding)</t>
  </si>
  <si>
    <t xml:space="preserve">Programming </t>
  </si>
  <si>
    <t>*Each council member is entitled to $200</t>
  </si>
  <si>
    <t>Conference*</t>
  </si>
  <si>
    <t>101-12100-309</t>
  </si>
  <si>
    <t>101-14100-303</t>
  </si>
  <si>
    <t>Fund 425 Street Infrastructure</t>
  </si>
  <si>
    <t>TOTAL YTD</t>
  </si>
  <si>
    <t>Fund 450 Electric Infrastructure</t>
  </si>
  <si>
    <t>Less Expenses</t>
  </si>
  <si>
    <t>Plus Interest YTD</t>
  </si>
  <si>
    <t>Fund 480 Sewer Infrastructure</t>
  </si>
  <si>
    <t>Plus Transfers In From 615 (CIP)</t>
  </si>
  <si>
    <t>Fund 490 Water Infrastructure</t>
  </si>
  <si>
    <t>101-11300-104</t>
  </si>
  <si>
    <t>620-00000-601</t>
  </si>
  <si>
    <t>620-00000-611</t>
  </si>
  <si>
    <t>Debt Service (600)</t>
  </si>
  <si>
    <t>Bond Principal (Hwy 44/MainSt)</t>
  </si>
  <si>
    <t>Bond Interest (Hwy 44/Main St)</t>
  </si>
  <si>
    <t>625-00000-601</t>
  </si>
  <si>
    <t>625-00000-611</t>
  </si>
  <si>
    <t>Bond Principal (Hwy 44/Main St)</t>
  </si>
  <si>
    <t>*Regular Judges accumulate approx 125 hours - new wage $10 per hour in 2016</t>
  </si>
  <si>
    <t>*Head Judges accumulate approx 50 hours - new wage $11 per hour in 2016</t>
  </si>
  <si>
    <t>Miscellaneous Revenue - LMC Dividends</t>
  </si>
  <si>
    <t>625-00000-36100</t>
  </si>
  <si>
    <t>Misc Rev - Interest</t>
  </si>
  <si>
    <t>Advertising (400)</t>
  </si>
  <si>
    <t>270-00000-433</t>
  </si>
  <si>
    <t>101-14200-33101</t>
  </si>
  <si>
    <t>Charges for Pool - Lessons</t>
  </si>
  <si>
    <t>101-14200-33102</t>
  </si>
  <si>
    <t>Charges for Pool - Passes</t>
  </si>
  <si>
    <t>101-14200-33103</t>
  </si>
  <si>
    <t>Charges for Pool - Admissions</t>
  </si>
  <si>
    <t>101-14200-33104</t>
  </si>
  <si>
    <t>Charges for Pool - Concessions</t>
  </si>
  <si>
    <t>Miscellaneous Revenue - Special Assessments</t>
  </si>
  <si>
    <t>101-12100-580</t>
  </si>
  <si>
    <t>101-14300-33200</t>
  </si>
  <si>
    <t>101-14300-36400</t>
  </si>
  <si>
    <t>Charges for Services - Parks</t>
  </si>
  <si>
    <t>101-14300-33104</t>
  </si>
  <si>
    <t>Concessions</t>
  </si>
  <si>
    <t>Sewer Infrastructure Fees/Interest</t>
  </si>
  <si>
    <t>Water Infrastructure Fees/Interest</t>
  </si>
  <si>
    <t>650-00000-36800</t>
  </si>
  <si>
    <t>Misc Rev - NSF Checks</t>
  </si>
  <si>
    <t>650-00000-570</t>
  </si>
  <si>
    <t>Office Equip</t>
  </si>
  <si>
    <t>101-14200-33100</t>
  </si>
  <si>
    <t>Charges for Pool - Parties</t>
  </si>
  <si>
    <t>101-14200-36500</t>
  </si>
  <si>
    <t>Misc Rev - Others</t>
  </si>
  <si>
    <t>Paid off Feb 1, 2022</t>
  </si>
  <si>
    <t>** Grant received from state for training reimbursement</t>
  </si>
  <si>
    <t>Bond Prinicipal (Sewer Bond)</t>
  </si>
  <si>
    <t>Bond Interest (Sewer Bond)</t>
  </si>
  <si>
    <t>Other than Buildings*</t>
  </si>
  <si>
    <t>Transfer out- to general fund</t>
  </si>
  <si>
    <t>Transfer Out- to general fund</t>
  </si>
  <si>
    <t>Water/Sewer Transfer In</t>
  </si>
  <si>
    <t>Victim Services</t>
  </si>
  <si>
    <t xml:space="preserve">Other </t>
  </si>
  <si>
    <t>General (to 405)</t>
  </si>
  <si>
    <t>Buildings*</t>
  </si>
  <si>
    <t>Fund 319 TIF GO 2015A</t>
  </si>
  <si>
    <t>(Nerstad/Bender Development Refinance)</t>
  </si>
  <si>
    <t>Transfer from 318 to 319</t>
  </si>
  <si>
    <t>Transfer from 314 to 319</t>
  </si>
  <si>
    <t>Transfer Out to 319</t>
  </si>
  <si>
    <t>Fund 318 BENDER TIF FUND</t>
  </si>
  <si>
    <t>Transfer to 319</t>
  </si>
  <si>
    <t>Bender/Nerstad TIF Refinance</t>
  </si>
  <si>
    <t>Charges for Services Recycling</t>
  </si>
  <si>
    <t>Semcac</t>
  </si>
  <si>
    <t>101-12200-611</t>
  </si>
  <si>
    <t>101-12300-410</t>
  </si>
  <si>
    <t>Salaries/Wages</t>
  </si>
  <si>
    <t>** 2017 is last lease payment on truck</t>
  </si>
  <si>
    <t>Fund 290 EDA Operating Fund</t>
  </si>
  <si>
    <t>290-00000-36100</t>
  </si>
  <si>
    <t>290-00000-36200</t>
  </si>
  <si>
    <t>290-00000-39000</t>
  </si>
  <si>
    <t>Transfer In - City Contribution</t>
  </si>
  <si>
    <t>Fund 295 EDA Revolving Fund</t>
  </si>
  <si>
    <t>295-00000-36100</t>
  </si>
  <si>
    <t>295-00000-37202</t>
  </si>
  <si>
    <t>Rev-Rfnd Reimbursements Small Cities</t>
  </si>
  <si>
    <t>320-00000-36100</t>
  </si>
  <si>
    <t>320-00000-36200</t>
  </si>
  <si>
    <t>Fund 320 EDA Operating Fund</t>
  </si>
  <si>
    <t>Misc Revenue - Rents (Winneshiek Medical)</t>
  </si>
  <si>
    <t>Taxes (370)</t>
  </si>
  <si>
    <t>320-00000-371</t>
  </si>
  <si>
    <t>Property Tax</t>
  </si>
  <si>
    <t>** Part of these expenses are paid by the rural areas</t>
  </si>
  <si>
    <t>Programming (Fire Education)</t>
  </si>
  <si>
    <t>320-00000-362</t>
  </si>
  <si>
    <t>290-00000-221</t>
  </si>
  <si>
    <t>290-00000-311</t>
  </si>
  <si>
    <t>290-00000-362</t>
  </si>
  <si>
    <t>290-00000-381</t>
  </si>
  <si>
    <t>290-00000-382</t>
  </si>
  <si>
    <t>290-00000-383</t>
  </si>
  <si>
    <t>290-00000-385</t>
  </si>
  <si>
    <t>290-00000-433</t>
  </si>
  <si>
    <t>290-00000-949</t>
  </si>
  <si>
    <t>290-00000-36302</t>
  </si>
  <si>
    <t>Misc Revenue - Sale of Property</t>
  </si>
  <si>
    <t>290-00000-36400</t>
  </si>
  <si>
    <t>Misc Revenue - Contributions PPF</t>
  </si>
  <si>
    <t>290-00000-304</t>
  </si>
  <si>
    <t>290-00000-322</t>
  </si>
  <si>
    <t>290-00000-943</t>
  </si>
  <si>
    <t>Dues, Fees, Subscrip &amp; Lic</t>
  </si>
  <si>
    <t>Repairs and Maintenance Contractual (900)</t>
  </si>
  <si>
    <t>290-00000-901</t>
  </si>
  <si>
    <t>320-00000-901</t>
  </si>
  <si>
    <t>610-00000-36100</t>
  </si>
  <si>
    <t>270-00000-224</t>
  </si>
  <si>
    <t>Street Maintenance Mtrls</t>
  </si>
  <si>
    <t>460-00000-36100</t>
  </si>
  <si>
    <t>460-00000-39000</t>
  </si>
  <si>
    <t>460-00000-490</t>
  </si>
  <si>
    <t xml:space="preserve">Cash on Hand </t>
  </si>
  <si>
    <t>****7300 used for assessment and $24750 every year (based off of cash balances we currently have in fund)</t>
  </si>
  <si>
    <t>290-00000-371</t>
  </si>
  <si>
    <t>Property Taxes</t>
  </si>
  <si>
    <t>650-00000-36100</t>
  </si>
  <si>
    <t>Tank Mixer - $15,000</t>
  </si>
  <si>
    <t>Solid hauling - $8,000</t>
  </si>
  <si>
    <t>Transfer in from 450</t>
  </si>
  <si>
    <t>OK</t>
  </si>
  <si>
    <t>Unemployment</t>
  </si>
  <si>
    <t>625-00000-32900</t>
  </si>
  <si>
    <t>625-00000-36502</t>
  </si>
  <si>
    <t>Misc Rev - Bond Proceeds</t>
  </si>
  <si>
    <t>625-00000-530</t>
  </si>
  <si>
    <t>Improvements Other than Bldgs</t>
  </si>
  <si>
    <t>Charges for Services</t>
  </si>
  <si>
    <t>Misc Rev - Contributions</t>
  </si>
  <si>
    <t>101-11300-31400</t>
  </si>
  <si>
    <t>101-11300-31600</t>
  </si>
  <si>
    <t>License &amp; Permits - Building</t>
  </si>
  <si>
    <t>101-11300-31700</t>
  </si>
  <si>
    <t>101-11300-31800</t>
  </si>
  <si>
    <t>101-11300-33300</t>
  </si>
  <si>
    <t>Charges for Services - Other</t>
  </si>
  <si>
    <t>101-11300-37300</t>
  </si>
  <si>
    <t>Non Rev - Refunds &amp; Reimbursements</t>
  </si>
  <si>
    <t>101-11300-31500</t>
  </si>
  <si>
    <t>101-11300-31300</t>
  </si>
  <si>
    <t>License &amp; Permits - Beer</t>
  </si>
  <si>
    <t>101-11300-36500</t>
  </si>
  <si>
    <t>101-12100-31800</t>
  </si>
  <si>
    <t>101-12100-32700</t>
  </si>
  <si>
    <t>Inter Govt Other Gov Units</t>
  </si>
  <si>
    <t>101-12100-32900</t>
  </si>
  <si>
    <t>101-12100-34100</t>
  </si>
  <si>
    <t>101-12100-36500</t>
  </si>
  <si>
    <t>101-12100-36800</t>
  </si>
  <si>
    <t>101-12100-142</t>
  </si>
  <si>
    <t>101-12100-903</t>
  </si>
  <si>
    <t>Improvements (Not Bldg)</t>
  </si>
  <si>
    <t>Inter Govt State Police Aid</t>
  </si>
  <si>
    <t>101-00000-30302</t>
  </si>
  <si>
    <t>Local Govt Aid - Fire</t>
  </si>
  <si>
    <t>101-12200-32700</t>
  </si>
  <si>
    <t>101-12200-36500</t>
  </si>
  <si>
    <t>Inter Govt State Grant</t>
  </si>
  <si>
    <t>101-12200-36503</t>
  </si>
  <si>
    <t>Misc Rev - Rural Fire Contribution</t>
  </si>
  <si>
    <t>Fire Pension</t>
  </si>
  <si>
    <t>101-13100-33300</t>
  </si>
  <si>
    <t>101-13100-35500</t>
  </si>
  <si>
    <t>Utility Sales/Serv - Penalties</t>
  </si>
  <si>
    <t>101-13100-32300</t>
  </si>
  <si>
    <t>101-14100-433</t>
  </si>
  <si>
    <t>Advertising (Fitness Stations)</t>
  </si>
  <si>
    <t>* Roverud Park, Ballfield and Basketball Court</t>
  </si>
  <si>
    <t>Fund 330 LaX Fabricating Tax Abatement</t>
  </si>
  <si>
    <t xml:space="preserve">The amount will change annually based on future valuations, tax rates, etc.  The amount will be a dwindling amount paid directly to </t>
  </si>
  <si>
    <t>the company before the end of the year once it is confirmed that they paid taxes.  Abatement will run 2017-2021.</t>
  </si>
  <si>
    <t>Payment Estimates</t>
  </si>
  <si>
    <t>Plus Transfer In from 101</t>
  </si>
  <si>
    <t>To CIP Funds</t>
  </si>
  <si>
    <t>295-11000</t>
  </si>
  <si>
    <t>Accounts Receivable/Principal Pmts</t>
  </si>
  <si>
    <t>13230 Recycling</t>
  </si>
  <si>
    <t>101-13230-34303</t>
  </si>
  <si>
    <t>Charges for Services - Recycling</t>
  </si>
  <si>
    <t>101-13230-305</t>
  </si>
  <si>
    <t>Recycling Professional Svcs</t>
  </si>
  <si>
    <t>330-00000-39000</t>
  </si>
  <si>
    <t>330-00000-602</t>
  </si>
  <si>
    <t>101-14100-36400</t>
  </si>
  <si>
    <t>101-14100-33201</t>
  </si>
  <si>
    <t>101-11200-309</t>
  </si>
  <si>
    <t>EDP, Software/Design</t>
  </si>
  <si>
    <t>** No PERA rate increase for 2017</t>
  </si>
  <si>
    <t>City and the rural areas make contributions.  The City's contribution for 2017 is $8000.</t>
  </si>
  <si>
    <t>**  $3000 Retention Stipend ending in 2017</t>
  </si>
  <si>
    <t>101-13100-550</t>
  </si>
  <si>
    <t>Motor Vehicles</t>
  </si>
  <si>
    <t>101-14100-550</t>
  </si>
  <si>
    <t>290-00000-103</t>
  </si>
  <si>
    <t>Part Time Regular</t>
  </si>
  <si>
    <t>290-00000-121</t>
  </si>
  <si>
    <t>290-00000-122</t>
  </si>
  <si>
    <t>290-00000-123</t>
  </si>
  <si>
    <t>290-00000-224</t>
  </si>
  <si>
    <t>Street Maintenance Material</t>
  </si>
  <si>
    <t>295-00000-311</t>
  </si>
  <si>
    <t>295-00000-901</t>
  </si>
  <si>
    <t>320-00000-611</t>
  </si>
  <si>
    <t>320-21100</t>
  </si>
  <si>
    <t>Due to Other</t>
  </si>
  <si>
    <t>FUND BALANCE AS OF 07/01/2017: $12956.87</t>
  </si>
  <si>
    <t xml:space="preserve">800 mhz Pagers </t>
  </si>
  <si>
    <t>30 x $600 = $18,000</t>
  </si>
  <si>
    <t xml:space="preserve">Turn Out Gear </t>
  </si>
  <si>
    <t>15 x $7,666 = $115,000</t>
  </si>
  <si>
    <t>New Main Pumper</t>
  </si>
  <si>
    <t>Gear Extractor</t>
  </si>
  <si>
    <t>Jaws</t>
  </si>
  <si>
    <t>SCBA Air Packs</t>
  </si>
  <si>
    <t>10 Yr Life</t>
  </si>
  <si>
    <t>5 Yr Life</t>
  </si>
  <si>
    <t>**AFG grant - not open yet</t>
  </si>
  <si>
    <t xml:space="preserve">**405 has $22,060.21 as of Aug 1, 2017 </t>
  </si>
  <si>
    <t>Will be coming from 405 in 2018</t>
  </si>
  <si>
    <t>**405 - $25,000 of the $30,000 is restricted yearly for Pumper Purchase</t>
  </si>
  <si>
    <t>$500,000 - setting aside $25,000 each year into 405 for truck</t>
  </si>
  <si>
    <t>Street construction (new road) on 2nd Ave NE - $160,000 ($100,000 budget and $60,000 infrastructure)</t>
  </si>
  <si>
    <t>New benches and picnic tables for shelters at Trollskogen - $6000</t>
  </si>
  <si>
    <t>Ice Cream (Food Included)</t>
  </si>
  <si>
    <t>Transfer in from General Fund</t>
  </si>
  <si>
    <t>Replace 25 poles throughout the city</t>
  </si>
  <si>
    <t>Storm Sewer Repairs</t>
  </si>
  <si>
    <t>Water Tower</t>
  </si>
  <si>
    <t>bond?</t>
  </si>
  <si>
    <t>615-00000-344</t>
  </si>
  <si>
    <t>Debt Service</t>
  </si>
  <si>
    <t>615-00000-611</t>
  </si>
  <si>
    <t>2018 Projects</t>
  </si>
  <si>
    <t>620-00000-344</t>
  </si>
  <si>
    <t>620-00000-530</t>
  </si>
  <si>
    <t>Improvements Other Than Bldgs</t>
  </si>
  <si>
    <t>620-00000-36502</t>
  </si>
  <si>
    <t>Misc Revenue - Bond Proceeds</t>
  </si>
  <si>
    <t>625-00000-36500</t>
  </si>
  <si>
    <t>Storm Sewer Repairs - $30,000 from Infrastructure</t>
  </si>
  <si>
    <t>Reach In Freezer - $2500</t>
  </si>
  <si>
    <t>Paint slides - TNT - $2700</t>
  </si>
  <si>
    <t>Sidewalk Repair - $5000 for one quadrant each year</t>
  </si>
  <si>
    <t>New vehicle - Ford 350 - come out of vehicle replacement fund</t>
  </si>
  <si>
    <t>*Will wash out at year end - revenues will equal expenditures</t>
  </si>
  <si>
    <t>Miscellaneous Revenue - Rents (Verizon)</t>
  </si>
  <si>
    <t>2017: $12077.28</t>
  </si>
  <si>
    <t>2018: $9489.29</t>
  </si>
  <si>
    <t>2019: $6901.30</t>
  </si>
  <si>
    <t>2020: $4313.32</t>
  </si>
  <si>
    <t>2021: $1725.33</t>
  </si>
  <si>
    <t>Actual Taxes: $17,253.26</t>
  </si>
  <si>
    <t>Offsale Cooler - $3500</t>
  </si>
  <si>
    <t>Refunded to 319</t>
  </si>
  <si>
    <t>***COMBINED WITH 317 - any money that comes in will be used to pay bond payment in Fund 319</t>
  </si>
  <si>
    <t>Balance as of 12/31/17 $13035.21</t>
  </si>
  <si>
    <t>Transfer from 317 to 319</t>
  </si>
  <si>
    <t>101-12200-36400</t>
  </si>
  <si>
    <t>101-12200-601</t>
  </si>
  <si>
    <t>101-13100-36500</t>
  </si>
  <si>
    <t>101-13100-39000</t>
  </si>
  <si>
    <t>Transfer In from Vehicle Replacement</t>
  </si>
  <si>
    <t>615-00000-440</t>
  </si>
  <si>
    <t>To Sewer Infrastructure Project Fund</t>
  </si>
  <si>
    <t>625-00000-36300</t>
  </si>
  <si>
    <t>Misc Rev - Sale of Equipment</t>
  </si>
  <si>
    <t>650-00000-490</t>
  </si>
  <si>
    <t>Transfer Out (Donations)</t>
  </si>
  <si>
    <t>Property Tax General Revenue/Ad Valorem</t>
  </si>
  <si>
    <t>*Transferred balance in account to 319</t>
  </si>
  <si>
    <t>290-00000-32900</t>
  </si>
  <si>
    <t>290-00000-36500</t>
  </si>
  <si>
    <t>290-00000-351</t>
  </si>
  <si>
    <t>Legal Notice</t>
  </si>
  <si>
    <t>295-00000-304</t>
  </si>
  <si>
    <t>295-00000-949</t>
  </si>
  <si>
    <t>270-00000-36301</t>
  </si>
  <si>
    <t>Misc Revenue - Sale of Equipment</t>
  </si>
  <si>
    <t>615-00000-381</t>
  </si>
  <si>
    <t>**Licensed police officers are covered by the Police Pension fund, not PERA.  The City gets a refund for some of these monies from the state.</t>
  </si>
  <si>
    <t>*Bender Developer Payments/Assessent goes into 319 instead of 317.  Only deposit going into this account.  May be</t>
  </si>
  <si>
    <t>Tax Levy from 101 to 319</t>
  </si>
  <si>
    <t>Fund 240 TIF</t>
  </si>
  <si>
    <t>Nisse Treehouse</t>
  </si>
  <si>
    <t>Turn out gear</t>
  </si>
  <si>
    <t>Handhelds</t>
  </si>
  <si>
    <t>Water Fountain for Trollskogen - $1500</t>
  </si>
  <si>
    <t xml:space="preserve">13100 Streets </t>
  </si>
  <si>
    <t>Sidewalk Repair - $5000 for one quadrant each year NW</t>
  </si>
  <si>
    <t>3rd Ave SW - $145,000</t>
  </si>
  <si>
    <t>Maple Drive - $60,000</t>
  </si>
  <si>
    <t>Actual Taxes: $16,751.21</t>
  </si>
  <si>
    <t>City Portion: $9,213.17</t>
  </si>
  <si>
    <t>2019 Projects</t>
  </si>
  <si>
    <t>($10,000 Infrastructure Fund)</t>
  </si>
  <si>
    <t>Maple Drive - $60,000 ($10,000 from Infrastructure)</t>
  </si>
  <si>
    <t>2nd Ave NE - cost is $160,000.  Estimate that there will be $60,000 in infrastructure towards project</t>
  </si>
  <si>
    <t>BALANCE</t>
  </si>
  <si>
    <t>Purchases for 2019</t>
  </si>
  <si>
    <t>Transfer in from 435</t>
  </si>
  <si>
    <t>625-00000-550</t>
  </si>
  <si>
    <t>Vehicles</t>
  </si>
  <si>
    <t>Police Interceptor</t>
  </si>
  <si>
    <t xml:space="preserve">Watermain by school </t>
  </si>
  <si>
    <t>EDA Water service to SG Soda</t>
  </si>
  <si>
    <t>Transfer in from 240</t>
  </si>
  <si>
    <t>Transfer in from 245</t>
  </si>
  <si>
    <t>Server</t>
  </si>
  <si>
    <t>Lyn Computer</t>
  </si>
  <si>
    <t xml:space="preserve">Replace 25 Poles </t>
  </si>
  <si>
    <t>2020 Projects</t>
  </si>
  <si>
    <t>Paint both slides</t>
  </si>
  <si>
    <t>Square Umbrella Top of Slides</t>
  </si>
  <si>
    <t>Floor Scrubber</t>
  </si>
  <si>
    <t>Linoleum in Log Cabin</t>
  </si>
  <si>
    <t>Water Fountain FB and LC</t>
  </si>
  <si>
    <t>Street Sander</t>
  </si>
  <si>
    <t>Van Garage Door</t>
  </si>
  <si>
    <t>per Mike Bubany - rest is from cash on hand</t>
  </si>
  <si>
    <t>30 x $3,000 = $90,000</t>
  </si>
  <si>
    <t>Cash on Hand</t>
  </si>
  <si>
    <t>Gen Fund Transfer to Refunded Bond</t>
  </si>
  <si>
    <t>*Any money that comes in, transfer to 319.  Keep a zero balance (per Mike Bubany)</t>
  </si>
  <si>
    <t>240-00000-430</t>
  </si>
  <si>
    <t>240-00000-490</t>
  </si>
  <si>
    <t>240-00000-611</t>
  </si>
  <si>
    <t>Payment to Nisse</t>
  </si>
  <si>
    <t>240-00000-31050</t>
  </si>
  <si>
    <t>*Will be negative for 10 years.</t>
  </si>
  <si>
    <t>*Payments are made in August and February - i.e. Taxes paid in 2018 - payments are made in Aug 2018 and Feb 2019.</t>
  </si>
  <si>
    <t>*Keep depositing increments to this account but transfer over to 319.  Keep a zero balance.</t>
  </si>
  <si>
    <t>City Portion: $12,077.28</t>
  </si>
  <si>
    <t>Lights - Viking Electric</t>
  </si>
  <si>
    <t>1st Ave NW - $175,000</t>
  </si>
  <si>
    <t>Charges for Service - Overnight Parking/FB Field</t>
  </si>
  <si>
    <t>*Make position salaried at $5000 - teach Admin Assistant to do some things</t>
  </si>
  <si>
    <r>
      <t>*</t>
    </r>
    <r>
      <rPr>
        <i/>
        <sz val="10"/>
        <rFont val="Arial"/>
        <family val="2"/>
      </rPr>
      <t>Grant money will cover all</t>
    </r>
  </si>
  <si>
    <r>
      <t>*</t>
    </r>
    <r>
      <rPr>
        <i/>
        <sz val="10"/>
        <rFont val="Arial"/>
        <family val="2"/>
      </rPr>
      <t>Grant money will cover portion - $20,000 set aside into 405</t>
    </r>
  </si>
  <si>
    <r>
      <t>*</t>
    </r>
    <r>
      <rPr>
        <i/>
        <sz val="10"/>
        <rFont val="Arial"/>
        <family val="2"/>
      </rPr>
      <t>$25,000 set aside into 405</t>
    </r>
  </si>
  <si>
    <t>405 Fire Equipment</t>
  </si>
  <si>
    <t>Storm sewer at Roverud Park - $15,000</t>
  </si>
  <si>
    <t>TRUCK SAVINGS</t>
  </si>
  <si>
    <t>YEAR</t>
  </si>
  <si>
    <t>TURN OUT GEAR SAVINGS</t>
  </si>
  <si>
    <t>Total Savings YTD</t>
  </si>
  <si>
    <t>**RESTRICTED FUNDS IN 405 FOR TRUCK AND TURN OUT GEAR</t>
  </si>
  <si>
    <t>405-00000-36100</t>
  </si>
  <si>
    <t>405-00000-36400</t>
  </si>
  <si>
    <t>405-00000-39000</t>
  </si>
  <si>
    <t>405-00000-580</t>
  </si>
  <si>
    <t>Will be taken care of by Friends of the Pool</t>
  </si>
  <si>
    <t>2019 Increase</t>
  </si>
  <si>
    <t>16.95% Employer 11.30% Employee</t>
  </si>
  <si>
    <t>2020 Increase</t>
  </si>
  <si>
    <t>17.70% Employer 11.80% Employee</t>
  </si>
  <si>
    <r>
      <rPr>
        <strike/>
        <sz val="10"/>
        <color rgb="FFFF0000"/>
        <rFont val="Arial"/>
        <family val="2"/>
      </rPr>
      <t>*Election expenses occur only in even numbered years.  However, 1/2 of the budget is set aside each year.</t>
    </r>
    <r>
      <rPr>
        <sz val="10"/>
        <color rgb="FFFF0000"/>
        <rFont val="Arial"/>
        <family val="2"/>
      </rPr>
      <t xml:space="preserve"> - Amended to occur in correct year.</t>
    </r>
  </si>
  <si>
    <t>Chip Sealing Bathrooms</t>
  </si>
  <si>
    <t>Solid hauling - $6,000</t>
  </si>
  <si>
    <t>Storm Sewer Repairs - $25,000</t>
  </si>
  <si>
    <t>625-00000-730</t>
  </si>
  <si>
    <t>Interfund Loan to Electric</t>
  </si>
  <si>
    <t>Transfer to Sewer Fund</t>
  </si>
  <si>
    <t>Non-Revenue (Sewer Interfund Loan)</t>
  </si>
  <si>
    <t>101-12200-551</t>
  </si>
  <si>
    <t>Land</t>
  </si>
  <si>
    <t>YTD</t>
  </si>
  <si>
    <t>Contribution Amount - EDA is requesting $58,500 in 2019</t>
  </si>
  <si>
    <t>Purchases for 2020</t>
  </si>
  <si>
    <t>101-11100-946</t>
  </si>
  <si>
    <t>Training</t>
  </si>
  <si>
    <t>101-12200-36200</t>
  </si>
  <si>
    <t>Rent</t>
  </si>
  <si>
    <t>101-12200-371</t>
  </si>
  <si>
    <t>405-00000-32900</t>
  </si>
  <si>
    <t>Federal Grant</t>
  </si>
  <si>
    <t>101-14100-36500</t>
  </si>
  <si>
    <t>Misc Rev - Football Field Rent</t>
  </si>
  <si>
    <t>Loan Proceeds</t>
  </si>
  <si>
    <t>*Start to levy $25,000 per year as money will run out (per Mike Bubany) 2019 only</t>
  </si>
  <si>
    <t>101-11300-36400</t>
  </si>
  <si>
    <t>405-00000-946</t>
  </si>
  <si>
    <t>Conference/School/Training</t>
  </si>
  <si>
    <t>Net at Baseball Field - $1,500</t>
  </si>
  <si>
    <t>Temp Employees (Mgrs, Coaches, Ice Rink)</t>
  </si>
  <si>
    <t>Partitions for Womens Bathroom</t>
  </si>
  <si>
    <t>Cash on hand Jan 1, 2019</t>
  </si>
  <si>
    <t>Plus Deposits</t>
  </si>
  <si>
    <t>Less Purchases 2019</t>
  </si>
  <si>
    <t>Plus Vehicle Sales/Interest 2019</t>
  </si>
  <si>
    <t>Plus Depreciation 2019</t>
  </si>
  <si>
    <t>TOTAL YTD 2019</t>
  </si>
  <si>
    <t>Minus Purchases for 2020</t>
  </si>
  <si>
    <t>*Take levy from 319 and put in contigency as cushion $25,000 per Mike in 2020</t>
  </si>
  <si>
    <t>615-00000-11300</t>
  </si>
  <si>
    <t>CD Principal</t>
  </si>
  <si>
    <t>Transfer in from 456</t>
  </si>
  <si>
    <t>??</t>
  </si>
  <si>
    <t>Remodel Bathrooms</t>
  </si>
  <si>
    <t>Chairs/Lounges (currently have</t>
  </si>
  <si>
    <t>Contribution Amount - EDA is requesting $75,000 in 2020</t>
  </si>
  <si>
    <t>Excess TIF District 23</t>
  </si>
  <si>
    <t>(From 314 and 318)</t>
  </si>
  <si>
    <t>($98,525 Ad Valorem Taxes, $25,000 Fund 430)</t>
  </si>
  <si>
    <t>($24,750 Fund 354 and $98,525 Fund 315)</t>
  </si>
  <si>
    <t>End of 2nd Ave NW - $346,000</t>
  </si>
  <si>
    <t>End of 3rd Ave NW - $225,000</t>
  </si>
  <si>
    <t>Full Recontruct 1st St NW - $731,000</t>
  </si>
  <si>
    <t>Mulch for Zip Line - $2,000</t>
  </si>
  <si>
    <t>Pool Filter</t>
  </si>
  <si>
    <t>Leak Repair</t>
  </si>
  <si>
    <t>? Do not know if this will be in 2019 yet or 2020</t>
  </si>
  <si>
    <t>? Waiting on price</t>
  </si>
  <si>
    <t xml:space="preserve"> 22 loungers and 20 chairs)</t>
  </si>
  <si>
    <t>Plow Truck</t>
  </si>
  <si>
    <t>Plus Depreciation 2020</t>
  </si>
  <si>
    <t>Electrical upgrade</t>
  </si>
  <si>
    <t>at Trollskogen</t>
  </si>
  <si>
    <t>New Light Poles (North Lift</t>
  </si>
  <si>
    <t xml:space="preserve"> Station/1st Ave SW)</t>
  </si>
  <si>
    <t>Solid Hauling - $4,000</t>
  </si>
  <si>
    <t>Lift Station Pumps - $20,000</t>
  </si>
  <si>
    <t>? Share costs of 1st St SW Storm Sewer Repairs</t>
  </si>
  <si>
    <t xml:space="preserve">Projected 2020 Tax </t>
  </si>
  <si>
    <t>New Picnic Tables and Benchs - $1,000</t>
  </si>
  <si>
    <t>Stain for Log Cabin and Gazebo - $5,000</t>
  </si>
  <si>
    <t>Bathouse Sidewalk repair - $1,000</t>
  </si>
  <si>
    <t>Air Conditioning</t>
  </si>
  <si>
    <t>?</t>
  </si>
  <si>
    <t>Storm Sewer Repairs at City Shop - 3rd Ave NW - $20,000</t>
  </si>
  <si>
    <t>Plow Truck - $180,000 (vehicle replacement)</t>
  </si>
  <si>
    <t>Mill and Overlay NE Section - $100,000</t>
  </si>
  <si>
    <t>New floor - $15,000</t>
  </si>
  <si>
    <t>License &amp; Permits - Other (Richards Sani)</t>
  </si>
  <si>
    <t>1st St SW Water, Sewer</t>
  </si>
  <si>
    <t>and Street</t>
  </si>
  <si>
    <t>1st St SW</t>
  </si>
  <si>
    <t>(Water, Sewer and Street - not sure on breakdown yet - all under water)</t>
  </si>
  <si>
    <t xml:space="preserve">Balance as of 12/16/2019 - $10,157.83 </t>
  </si>
  <si>
    <t>*Moved all infrastructure funds to Streets for 2019 Streets Project</t>
  </si>
  <si>
    <t>615-00000-915</t>
  </si>
  <si>
    <t>Transfer to 615 (Electric) to Balance</t>
  </si>
  <si>
    <t>620-00000-304</t>
  </si>
  <si>
    <t>620-00000-551</t>
  </si>
  <si>
    <t>FUND BALANCE AS OF 12/01/2019:</t>
  </si>
  <si>
    <t>101-11300-551</t>
  </si>
  <si>
    <t>101-12100-32500</t>
  </si>
  <si>
    <t>101-12100-550</t>
  </si>
  <si>
    <t>Current Balance</t>
  </si>
  <si>
    <t>101-12100-39000</t>
  </si>
  <si>
    <t>Transfer In (Vehicle Replacement)</t>
  </si>
  <si>
    <t>Transfer In (Vehicle Replacement Fund)</t>
  </si>
  <si>
    <t>270-00000-36100</t>
  </si>
  <si>
    <t>Truck Restricted</t>
  </si>
  <si>
    <t>Turn Out Gear Restricted</t>
  </si>
  <si>
    <t>Turn Out Gear Purchase</t>
  </si>
  <si>
    <t>Purchases</t>
  </si>
  <si>
    <t>CURRENT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</si>
</sst>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&quot;$&quot;#,##0.00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2"/>
      <color rgb="FF800080"/>
      <name val="Arial"/>
      <family val="2"/>
    </font>
    <font>
      <sz val="10"/>
      <color rgb="FF800080"/>
      <name val="Arial"/>
      <family val="2"/>
    </font>
    <font>
      <sz val="10"/>
      <color rgb="FF7030A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sz val="10"/>
      <color rgb="FFC00000"/>
      <name val="Arial"/>
      <family val="2"/>
    </font>
    <font>
      <sz val="10"/>
      <color theme="7" tint="-0.249977111117893"/>
      <name val="Arial"/>
      <family val="2"/>
    </font>
    <font>
      <sz val="10"/>
      <name val="Arial"/>
      <family val="2"/>
    </font>
    <font>
      <b/>
      <sz val="12"/>
      <color rgb="FF7030A0"/>
      <name val="Arial"/>
      <family val="2"/>
    </font>
    <font>
      <b/>
      <sz val="12"/>
      <color rgb="FF800080"/>
      <name val="Arial"/>
      <family val="2"/>
    </font>
    <font>
      <sz val="12"/>
      <color rgb="FF7030A0"/>
      <name val="Arial"/>
      <family val="2"/>
    </font>
    <font>
      <b/>
      <sz val="12"/>
      <color theme="7"/>
      <name val="Arial"/>
      <family val="2"/>
    </font>
    <font>
      <sz val="12"/>
      <color rgb="FF00206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u/>
      <sz val="10"/>
      <name val="Arial"/>
      <family val="2"/>
    </font>
    <font>
      <b/>
      <sz val="11"/>
      <color rgb="FFFF0000"/>
      <name val="Arial"/>
      <family val="2"/>
    </font>
    <font>
      <strike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strike/>
      <sz val="10"/>
      <color rgb="FFFF000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5" fontId="0" fillId="0" borderId="0" xfId="1" applyNumberFormat="1" applyFont="1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/>
    <xf numFmtId="0" fontId="5" fillId="0" borderId="0" xfId="0" applyFont="1"/>
    <xf numFmtId="165" fontId="0" fillId="0" borderId="4" xfId="1" applyNumberFormat="1" applyFont="1" applyBorder="1"/>
    <xf numFmtId="165" fontId="0" fillId="0" borderId="0" xfId="1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1" applyFont="1"/>
    <xf numFmtId="0" fontId="6" fillId="0" borderId="0" xfId="0" applyFont="1"/>
    <xf numFmtId="165" fontId="4" fillId="0" borderId="0" xfId="1" applyNumberFormat="1" applyFont="1"/>
    <xf numFmtId="165" fontId="0" fillId="0" borderId="0" xfId="0" applyNumberFormat="1"/>
    <xf numFmtId="165" fontId="4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/>
    <xf numFmtId="0" fontId="10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ill="1"/>
    <xf numFmtId="165" fontId="1" fillId="0" borderId="4" xfId="1" applyNumberFormat="1" applyFont="1" applyFill="1" applyBorder="1"/>
    <xf numFmtId="165" fontId="0" fillId="0" borderId="4" xfId="1" applyNumberFormat="1" applyFont="1" applyFill="1" applyBorder="1"/>
    <xf numFmtId="165" fontId="8" fillId="0" borderId="4" xfId="1" applyNumberFormat="1" applyFont="1" applyFill="1" applyBorder="1"/>
    <xf numFmtId="166" fontId="0" fillId="0" borderId="0" xfId="2" applyNumberFormat="1" applyFont="1" applyFill="1"/>
    <xf numFmtId="165" fontId="8" fillId="0" borderId="0" xfId="1" applyNumberFormat="1" applyFont="1" applyFill="1"/>
    <xf numFmtId="165" fontId="0" fillId="0" borderId="0" xfId="1" applyNumberFormat="1" applyFont="1" applyFill="1"/>
    <xf numFmtId="0" fontId="4" fillId="0" borderId="0" xfId="0" applyFont="1" applyFill="1"/>
    <xf numFmtId="165" fontId="1" fillId="0" borderId="0" xfId="1" applyNumberFormat="1" applyFont="1" applyFill="1"/>
    <xf numFmtId="0" fontId="1" fillId="0" borderId="0" xfId="0" applyFont="1" applyAlignment="1">
      <alignment horizontal="center"/>
    </xf>
    <xf numFmtId="0" fontId="9" fillId="0" borderId="0" xfId="0" applyFont="1"/>
    <xf numFmtId="166" fontId="1" fillId="0" borderId="0" xfId="2" applyNumberFormat="1" applyFont="1" applyFill="1"/>
    <xf numFmtId="0" fontId="11" fillId="0" borderId="0" xfId="0" applyFont="1" applyBorder="1"/>
    <xf numFmtId="0" fontId="12" fillId="0" borderId="0" xfId="0" applyFont="1" applyBorder="1"/>
    <xf numFmtId="165" fontId="13" fillId="0" borderId="0" xfId="1" applyNumberFormat="1" applyFont="1"/>
    <xf numFmtId="165" fontId="13" fillId="0" borderId="0" xfId="1" applyNumberFormat="1" applyFont="1" applyFill="1"/>
    <xf numFmtId="0" fontId="1" fillId="0" borderId="0" xfId="0" applyFont="1" applyBorder="1"/>
    <xf numFmtId="0" fontId="0" fillId="0" borderId="0" xfId="0" applyFont="1" applyFill="1" applyBorder="1"/>
    <xf numFmtId="0" fontId="3" fillId="0" borderId="0" xfId="0" applyFont="1"/>
    <xf numFmtId="0" fontId="16" fillId="0" borderId="0" xfId="0" applyFont="1"/>
    <xf numFmtId="165" fontId="16" fillId="0" borderId="0" xfId="1" applyNumberFormat="1" applyFont="1"/>
    <xf numFmtId="9" fontId="17" fillId="0" borderId="0" xfId="0" applyNumberFormat="1" applyFont="1"/>
    <xf numFmtId="0" fontId="17" fillId="0" borderId="0" xfId="0" applyFont="1"/>
    <xf numFmtId="14" fontId="1" fillId="0" borderId="0" xfId="0" applyNumberFormat="1" applyFont="1" applyAlignment="1">
      <alignment horizontal="center"/>
    </xf>
    <xf numFmtId="165" fontId="1" fillId="0" borderId="0" xfId="1" applyNumberFormat="1" applyFont="1"/>
    <xf numFmtId="165" fontId="18" fillId="0" borderId="0" xfId="1" applyNumberFormat="1" applyFont="1"/>
    <xf numFmtId="0" fontId="3" fillId="0" borderId="4" xfId="0" applyFont="1" applyBorder="1"/>
    <xf numFmtId="164" fontId="10" fillId="0" borderId="6" xfId="0" applyNumberFormat="1" applyFont="1" applyFill="1" applyBorder="1"/>
    <xf numFmtId="0" fontId="10" fillId="0" borderId="7" xfId="0" applyFont="1" applyBorder="1"/>
    <xf numFmtId="0" fontId="1" fillId="0" borderId="0" xfId="0" applyFont="1" applyAlignment="1">
      <alignment horizontal="left"/>
    </xf>
    <xf numFmtId="165" fontId="9" fillId="0" borderId="0" xfId="1" applyNumberFormat="1" applyFont="1"/>
    <xf numFmtId="165" fontId="9" fillId="0" borderId="7" xfId="1" applyNumberFormat="1" applyFont="1" applyBorder="1"/>
    <xf numFmtId="165" fontId="1" fillId="0" borderId="0" xfId="0" applyNumberFormat="1" applyFont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0" borderId="4" xfId="0" applyNumberFormat="1" applyBorder="1"/>
    <xf numFmtId="0" fontId="1" fillId="0" borderId="7" xfId="0" applyFont="1" applyBorder="1"/>
    <xf numFmtId="0" fontId="1" fillId="0" borderId="4" xfId="0" applyFont="1" applyFill="1" applyBorder="1"/>
    <xf numFmtId="0" fontId="0" fillId="0" borderId="5" xfId="0" applyFill="1" applyBorder="1"/>
    <xf numFmtId="165" fontId="1" fillId="0" borderId="4" xfId="1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6" fontId="0" fillId="0" borderId="4" xfId="0" applyNumberFormat="1" applyFill="1" applyBorder="1" applyAlignment="1">
      <alignment horizontal="center"/>
    </xf>
    <xf numFmtId="14" fontId="3" fillId="0" borderId="0" xfId="0" applyNumberFormat="1" applyFont="1" applyFill="1" applyBorder="1"/>
    <xf numFmtId="165" fontId="17" fillId="0" borderId="0" xfId="0" applyNumberFormat="1" applyFont="1"/>
    <xf numFmtId="9" fontId="16" fillId="0" borderId="0" xfId="2" applyFont="1"/>
    <xf numFmtId="0" fontId="0" fillId="0" borderId="4" xfId="0" applyBorder="1" applyAlignment="1">
      <alignment horizontal="center"/>
    </xf>
    <xf numFmtId="6" fontId="0" fillId="0" borderId="6" xfId="0" applyNumberForma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1" applyNumberFormat="1" applyFont="1" applyBorder="1" applyAlignment="1">
      <alignment horizontal="center" vertical="center"/>
    </xf>
    <xf numFmtId="166" fontId="3" fillId="0" borderId="0" xfId="2" applyNumberFormat="1" applyFont="1" applyBorder="1"/>
    <xf numFmtId="166" fontId="3" fillId="0" borderId="1" xfId="2" applyNumberFormat="1" applyFont="1" applyBorder="1"/>
    <xf numFmtId="165" fontId="1" fillId="0" borderId="4" xfId="1" applyNumberFormat="1" applyFont="1" applyBorder="1" applyAlignment="1">
      <alignment horizontal="center"/>
    </xf>
    <xf numFmtId="165" fontId="1" fillId="0" borderId="0" xfId="1" applyNumberFormat="1" applyFont="1" applyAlignment="1">
      <alignment horizontal="left"/>
    </xf>
    <xf numFmtId="165" fontId="3" fillId="0" borderId="0" xfId="1" applyNumberFormat="1" applyFont="1"/>
    <xf numFmtId="43" fontId="1" fillId="0" borderId="0" xfId="3" applyFont="1"/>
    <xf numFmtId="0" fontId="0" fillId="0" borderId="0" xfId="0" applyBorder="1" applyAlignment="1">
      <alignment horizontal="left"/>
    </xf>
    <xf numFmtId="165" fontId="20" fillId="0" borderId="0" xfId="1" applyNumberFormat="1" applyFont="1" applyFill="1"/>
    <xf numFmtId="0" fontId="21" fillId="0" borderId="0" xfId="0" applyFont="1"/>
    <xf numFmtId="165" fontId="22" fillId="0" borderId="0" xfId="0" applyNumberFormat="1" applyFont="1"/>
    <xf numFmtId="165" fontId="22" fillId="0" borderId="7" xfId="1" applyNumberFormat="1" applyFont="1" applyBorder="1"/>
    <xf numFmtId="0" fontId="22" fillId="0" borderId="0" xfId="0" applyFont="1"/>
    <xf numFmtId="9" fontId="9" fillId="0" borderId="0" xfId="2" applyFont="1" applyFill="1"/>
    <xf numFmtId="0" fontId="23" fillId="0" borderId="0" xfId="0" applyFont="1"/>
    <xf numFmtId="0" fontId="11" fillId="0" borderId="0" xfId="0" applyFont="1"/>
    <xf numFmtId="0" fontId="24" fillId="0" borderId="0" xfId="0" applyFont="1"/>
    <xf numFmtId="165" fontId="9" fillId="0" borderId="0" xfId="1" applyNumberFormat="1" applyFont="1" applyFill="1"/>
    <xf numFmtId="0" fontId="3" fillId="0" borderId="0" xfId="0" applyFont="1" applyAlignment="1">
      <alignment horizontal="right"/>
    </xf>
    <xf numFmtId="43" fontId="0" fillId="0" borderId="0" xfId="0" applyNumberFormat="1"/>
    <xf numFmtId="43" fontId="1" fillId="0" borderId="0" xfId="0" applyNumberFormat="1" applyFont="1"/>
    <xf numFmtId="165" fontId="9" fillId="2" borderId="0" xfId="1" applyNumberFormat="1" applyFont="1" applyFill="1"/>
    <xf numFmtId="165" fontId="9" fillId="3" borderId="0" xfId="1" applyNumberFormat="1" applyFont="1" applyFill="1"/>
    <xf numFmtId="165" fontId="3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center"/>
    </xf>
    <xf numFmtId="0" fontId="1" fillId="0" borderId="0" xfId="0" applyFont="1" applyFill="1"/>
    <xf numFmtId="165" fontId="1" fillId="3" borderId="0" xfId="1" applyNumberFormat="1" applyFont="1" applyFill="1"/>
    <xf numFmtId="165" fontId="0" fillId="3" borderId="0" xfId="1" applyNumberFormat="1" applyFont="1" applyFill="1"/>
    <xf numFmtId="165" fontId="11" fillId="3" borderId="4" xfId="1" applyNumberFormat="1" applyFont="1" applyFill="1" applyBorder="1"/>
    <xf numFmtId="0" fontId="1" fillId="0" borderId="0" xfId="4"/>
    <xf numFmtId="168" fontId="1" fillId="0" borderId="0" xfId="4" applyNumberFormat="1" applyAlignment="1">
      <alignment horizontal="center"/>
    </xf>
    <xf numFmtId="168" fontId="1" fillId="0" borderId="0" xfId="4" applyNumberFormat="1" applyAlignment="1">
      <alignment horizontal="left"/>
    </xf>
    <xf numFmtId="168" fontId="10" fillId="0" borderId="0" xfId="4" applyNumberFormat="1" applyFont="1" applyFill="1" applyAlignment="1">
      <alignment horizontal="center"/>
    </xf>
    <xf numFmtId="168" fontId="1" fillId="0" borderId="0" xfId="4" applyNumberFormat="1" applyFont="1" applyAlignment="1">
      <alignment horizontal="left"/>
    </xf>
    <xf numFmtId="168" fontId="1" fillId="0" borderId="0" xfId="4" applyNumberFormat="1" applyFont="1" applyFill="1" applyAlignment="1">
      <alignment horizontal="left"/>
    </xf>
    <xf numFmtId="168" fontId="1" fillId="0" borderId="0" xfId="4" applyNumberFormat="1" applyFill="1" applyAlignment="1">
      <alignment horizontal="left"/>
    </xf>
    <xf numFmtId="0" fontId="26" fillId="0" borderId="0" xfId="0" applyFont="1" applyAlignment="1">
      <alignment vertical="center"/>
    </xf>
    <xf numFmtId="165" fontId="4" fillId="0" borderId="0" xfId="1" applyNumberFormat="1" applyFont="1" applyAlignment="1">
      <alignment horizontal="right"/>
    </xf>
    <xf numFmtId="8" fontId="0" fillId="0" borderId="0" xfId="0" applyNumberFormat="1" applyAlignment="1">
      <alignment horizontal="center"/>
    </xf>
    <xf numFmtId="44" fontId="1" fillId="0" borderId="0" xfId="1" applyFont="1" applyAlignment="1"/>
    <xf numFmtId="0" fontId="27" fillId="0" borderId="0" xfId="0" applyFont="1" applyAlignment="1">
      <alignment horizontal="center"/>
    </xf>
    <xf numFmtId="164" fontId="17" fillId="0" borderId="0" xfId="0" applyNumberFormat="1" applyFont="1"/>
    <xf numFmtId="0" fontId="1" fillId="3" borderId="0" xfId="0" applyFont="1" applyFill="1"/>
    <xf numFmtId="168" fontId="25" fillId="0" borderId="0" xfId="4" applyNumberFormat="1" applyFont="1" applyAlignment="1">
      <alignment horizontal="left"/>
    </xf>
    <xf numFmtId="165" fontId="1" fillId="3" borderId="4" xfId="1" applyNumberFormat="1" applyFont="1" applyFill="1" applyBorder="1"/>
    <xf numFmtId="165" fontId="22" fillId="3" borderId="0" xfId="0" applyNumberFormat="1" applyFont="1" applyFill="1"/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8" fontId="1" fillId="0" borderId="0" xfId="0" applyNumberFormat="1" applyFont="1" applyAlignment="1">
      <alignment horizontal="center"/>
    </xf>
    <xf numFmtId="165" fontId="1" fillId="3" borderId="0" xfId="1" applyNumberFormat="1" applyFont="1" applyFill="1" applyAlignment="1">
      <alignment horizontal="right"/>
    </xf>
    <xf numFmtId="0" fontId="0" fillId="3" borderId="0" xfId="0" applyFill="1"/>
    <xf numFmtId="6" fontId="0" fillId="0" borderId="0" xfId="0" applyNumberFormat="1" applyAlignment="1">
      <alignment horizontal="left"/>
    </xf>
    <xf numFmtId="6" fontId="1" fillId="0" borderId="0" xfId="1" applyNumberFormat="1" applyFont="1" applyAlignment="1">
      <alignment horizontal="left" vertical="top"/>
    </xf>
    <xf numFmtId="0" fontId="28" fillId="0" borderId="0" xfId="0" applyFont="1"/>
    <xf numFmtId="165" fontId="1" fillId="0" borderId="0" xfId="1" applyNumberFormat="1" applyFont="1" applyBorder="1"/>
    <xf numFmtId="44" fontId="1" fillId="0" borderId="0" xfId="1" applyFont="1"/>
    <xf numFmtId="6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4" fillId="0" borderId="0" xfId="0" applyNumberFormat="1" applyFont="1"/>
    <xf numFmtId="0" fontId="29" fillId="0" borderId="0" xfId="0" applyFont="1"/>
    <xf numFmtId="0" fontId="29" fillId="0" borderId="0" xfId="4" applyFont="1"/>
    <xf numFmtId="6" fontId="1" fillId="0" borderId="0" xfId="0" quotePrefix="1" applyNumberFormat="1" applyFont="1"/>
    <xf numFmtId="6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6" fontId="1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165" fontId="1" fillId="0" borderId="0" xfId="1" applyNumberFormat="1" applyFont="1" applyFill="1" applyAlignment="1">
      <alignment horizontal="left"/>
    </xf>
    <xf numFmtId="0" fontId="27" fillId="0" borderId="0" xfId="0" applyFont="1" applyBorder="1" applyAlignment="1">
      <alignment horizontal="center"/>
    </xf>
    <xf numFmtId="0" fontId="31" fillId="0" borderId="0" xfId="0" applyFont="1"/>
    <xf numFmtId="165" fontId="0" fillId="3" borderId="0" xfId="1" applyNumberFormat="1" applyFont="1" applyFill="1" applyBorder="1"/>
    <xf numFmtId="165" fontId="0" fillId="2" borderId="0" xfId="1" applyNumberFormat="1" applyFont="1" applyFill="1"/>
    <xf numFmtId="165" fontId="0" fillId="0" borderId="0" xfId="1" applyNumberFormat="1" applyFont="1" applyAlignment="1">
      <alignment horizontal="center"/>
    </xf>
    <xf numFmtId="6" fontId="1" fillId="0" borderId="0" xfId="0" applyNumberFormat="1" applyFont="1"/>
    <xf numFmtId="168" fontId="27" fillId="0" borderId="0" xfId="4" applyNumberFormat="1" applyFont="1" applyAlignment="1">
      <alignment horizontal="center"/>
    </xf>
    <xf numFmtId="6" fontId="29" fillId="0" borderId="0" xfId="0" quotePrefix="1" applyNumberFormat="1" applyFont="1"/>
    <xf numFmtId="6" fontId="0" fillId="0" borderId="0" xfId="0" applyNumberFormat="1"/>
    <xf numFmtId="167" fontId="1" fillId="0" borderId="0" xfId="4" applyNumberFormat="1" applyFont="1" applyAlignment="1">
      <alignment horizontal="right"/>
    </xf>
    <xf numFmtId="165" fontId="1" fillId="0" borderId="0" xfId="1" applyNumberFormat="1" applyFont="1" applyFill="1" applyAlignment="1"/>
    <xf numFmtId="168" fontId="1" fillId="3" borderId="0" xfId="4" applyNumberFormat="1" applyFont="1" applyFill="1" applyAlignment="1">
      <alignment horizontal="left"/>
    </xf>
    <xf numFmtId="0" fontId="33" fillId="0" borderId="0" xfId="0" applyFont="1"/>
    <xf numFmtId="165" fontId="29" fillId="0" borderId="0" xfId="1" applyNumberFormat="1" applyFont="1"/>
    <xf numFmtId="165" fontId="11" fillId="0" borderId="4" xfId="1" applyNumberFormat="1" applyFont="1" applyFill="1" applyBorder="1"/>
    <xf numFmtId="0" fontId="0" fillId="0" borderId="4" xfId="0" applyFill="1" applyBorder="1"/>
    <xf numFmtId="0" fontId="26" fillId="0" borderId="0" xfId="0" applyFont="1"/>
    <xf numFmtId="165" fontId="1" fillId="2" borderId="0" xfId="1" applyNumberFormat="1" applyFont="1" applyFill="1"/>
    <xf numFmtId="165" fontId="3" fillId="0" borderId="0" xfId="0" applyNumberFormat="1" applyFont="1"/>
    <xf numFmtId="165" fontId="1" fillId="0" borderId="7" xfId="1" applyNumberFormat="1" applyFont="1" applyBorder="1"/>
    <xf numFmtId="165" fontId="4" fillId="2" borderId="0" xfId="1" applyNumberFormat="1" applyFont="1" applyFill="1"/>
    <xf numFmtId="44" fontId="0" fillId="0" borderId="0" xfId="0" applyNumberFormat="1"/>
    <xf numFmtId="44" fontId="0" fillId="0" borderId="7" xfId="1" applyFont="1" applyBorder="1"/>
    <xf numFmtId="44" fontId="0" fillId="0" borderId="0" xfId="1" applyFont="1" applyBorder="1"/>
    <xf numFmtId="44" fontId="0" fillId="0" borderId="0" xfId="0" applyNumberFormat="1" applyBorder="1"/>
  </cellXfs>
  <cellStyles count="6">
    <cellStyle name="Comma" xfId="3" builtinId="3"/>
    <cellStyle name="Comma 2" xfId="5"/>
    <cellStyle name="Currency" xfId="1" builtinId="4"/>
    <cellStyle name="Normal" xfId="0" builtinId="0"/>
    <cellStyle name="Normal 2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Normal="100" workbookViewId="0">
      <selection activeCell="F26" sqref="F26:H26"/>
    </sheetView>
  </sheetViews>
  <sheetFormatPr defaultRowHeight="13.2" x14ac:dyDescent="0.25"/>
  <cols>
    <col min="1" max="1" width="12.6640625" customWidth="1"/>
    <col min="5" max="5" width="12.33203125" bestFit="1" customWidth="1"/>
    <col min="6" max="6" width="34.5546875" customWidth="1"/>
    <col min="7" max="7" width="9.109375" hidden="1" customWidth="1"/>
    <col min="8" max="8" width="6.5546875" customWidth="1"/>
    <col min="9" max="9" width="0.44140625" customWidth="1"/>
    <col min="10" max="10" width="13.88671875" customWidth="1"/>
    <col min="11" max="11" width="19.33203125" customWidth="1"/>
    <col min="12" max="12" width="9.109375" customWidth="1"/>
    <col min="13" max="13" width="17.44140625" customWidth="1"/>
  </cols>
  <sheetData>
    <row r="1" spans="1:14" ht="15.6" x14ac:dyDescent="0.3">
      <c r="A1" s="14" t="s">
        <v>202</v>
      </c>
      <c r="E1" s="14">
        <v>2020</v>
      </c>
      <c r="F1" s="14" t="s">
        <v>491</v>
      </c>
    </row>
    <row r="3" spans="1:14" ht="12.75" customHeight="1" x14ac:dyDescent="0.3">
      <c r="A3" s="2" t="s">
        <v>203</v>
      </c>
      <c r="B3" s="3"/>
      <c r="C3" s="3"/>
      <c r="D3" s="3"/>
      <c r="E3" s="3"/>
      <c r="F3" s="3"/>
      <c r="G3" s="3"/>
      <c r="H3" s="4"/>
      <c r="J3" s="96">
        <v>383725</v>
      </c>
      <c r="K3" s="97" t="s">
        <v>817</v>
      </c>
      <c r="L3" s="103"/>
      <c r="M3" s="94"/>
    </row>
    <row r="4" spans="1:14" ht="12.75" customHeight="1" x14ac:dyDescent="0.3">
      <c r="A4" s="5" t="s">
        <v>78</v>
      </c>
      <c r="B4" s="6"/>
      <c r="C4" s="6"/>
      <c r="D4" s="6"/>
      <c r="E4" s="6" t="s">
        <v>79</v>
      </c>
      <c r="F4" s="6"/>
      <c r="G4" s="6"/>
      <c r="H4" s="7" t="s">
        <v>782</v>
      </c>
      <c r="J4" s="98">
        <f>A33</f>
        <v>123275</v>
      </c>
      <c r="K4" s="97" t="s">
        <v>818</v>
      </c>
      <c r="L4" s="43"/>
      <c r="M4" s="94"/>
    </row>
    <row r="5" spans="1:14" ht="12.75" customHeight="1" x14ac:dyDescent="0.3">
      <c r="D5" s="46"/>
      <c r="H5" s="7"/>
      <c r="J5" s="99">
        <v>103000</v>
      </c>
      <c r="K5" s="97" t="s">
        <v>819</v>
      </c>
      <c r="L5" s="43"/>
      <c r="M5" s="94"/>
    </row>
    <row r="6" spans="1:14" ht="12.75" customHeight="1" x14ac:dyDescent="0.3">
      <c r="A6" s="117">
        <v>383725</v>
      </c>
      <c r="B6" s="45" t="s">
        <v>61</v>
      </c>
      <c r="C6" s="46"/>
      <c r="D6" s="46"/>
      <c r="E6" s="39">
        <f>Elections!D12</f>
        <v>2700</v>
      </c>
      <c r="F6" s="11" t="s">
        <v>650</v>
      </c>
      <c r="G6" s="6"/>
      <c r="H6" s="71">
        <v>11100</v>
      </c>
      <c r="J6" s="100"/>
      <c r="K6" s="97"/>
      <c r="L6" s="43"/>
      <c r="M6" s="94"/>
    </row>
    <row r="7" spans="1:14" ht="12.75" customHeight="1" x14ac:dyDescent="0.3">
      <c r="A7" s="170">
        <v>4300</v>
      </c>
      <c r="B7" s="45" t="s">
        <v>204</v>
      </c>
      <c r="C7" s="46"/>
      <c r="D7" s="6"/>
      <c r="E7" s="39">
        <f>Council!C28</f>
        <v>16662</v>
      </c>
      <c r="F7" s="6" t="s">
        <v>63</v>
      </c>
      <c r="G7" s="6"/>
      <c r="H7" s="7">
        <v>11200</v>
      </c>
      <c r="J7" s="134">
        <f>SUM(J3:J5)</f>
        <v>610000</v>
      </c>
      <c r="K7" s="97" t="s">
        <v>820</v>
      </c>
      <c r="L7" s="43"/>
      <c r="M7" s="27"/>
    </row>
    <row r="8" spans="1:14" ht="12.75" customHeight="1" x14ac:dyDescent="0.3">
      <c r="A8" s="171"/>
      <c r="B8" s="6"/>
      <c r="C8" s="6"/>
      <c r="D8" s="6"/>
      <c r="E8" s="39">
        <f>Administration!C73</f>
        <v>420326.35309999995</v>
      </c>
      <c r="F8" s="6" t="s">
        <v>95</v>
      </c>
      <c r="G8" s="6"/>
      <c r="H8" s="7">
        <v>11300</v>
      </c>
      <c r="J8" s="98">
        <v>610000</v>
      </c>
      <c r="K8" s="97" t="s">
        <v>1263</v>
      </c>
      <c r="L8" s="43"/>
      <c r="M8" s="27"/>
    </row>
    <row r="9" spans="1:14" ht="12.75" customHeight="1" x14ac:dyDescent="0.3">
      <c r="A9" s="35">
        <f>'General Fund Revenues'!C9</f>
        <v>449224</v>
      </c>
      <c r="B9" s="6" t="s">
        <v>743</v>
      </c>
      <c r="C9" s="6"/>
      <c r="E9" s="39">
        <f>Police!C74</f>
        <v>360804.96259999997</v>
      </c>
      <c r="F9" s="6" t="s">
        <v>49</v>
      </c>
      <c r="G9" s="6"/>
      <c r="H9" s="7">
        <v>12100</v>
      </c>
      <c r="J9" s="105"/>
      <c r="K9" s="102" t="s">
        <v>824</v>
      </c>
      <c r="L9" s="104"/>
      <c r="M9" s="52"/>
    </row>
    <row r="10" spans="1:14" ht="12.75" customHeight="1" x14ac:dyDescent="0.3">
      <c r="A10" s="35">
        <f>'General Fund Revenues'!C42</f>
        <v>216465</v>
      </c>
      <c r="B10" s="11" t="s">
        <v>815</v>
      </c>
      <c r="D10" s="6"/>
      <c r="E10" s="39">
        <f>Fire!C73</f>
        <v>115377.3</v>
      </c>
      <c r="F10" s="6" t="s">
        <v>50</v>
      </c>
      <c r="G10" s="6"/>
      <c r="H10" s="71">
        <v>12200</v>
      </c>
      <c r="J10" s="101">
        <f>J7/J8</f>
        <v>1</v>
      </c>
      <c r="K10" s="97" t="s">
        <v>822</v>
      </c>
      <c r="L10" s="104"/>
      <c r="M10" s="52"/>
    </row>
    <row r="11" spans="1:14" ht="12.75" customHeight="1" x14ac:dyDescent="0.3">
      <c r="A11" s="35"/>
      <c r="B11" s="11" t="s">
        <v>816</v>
      </c>
      <c r="C11" s="6"/>
      <c r="D11" s="6"/>
      <c r="E11" s="39">
        <f>Ambulance!C8</f>
        <v>8000</v>
      </c>
      <c r="F11" s="29" t="s">
        <v>752</v>
      </c>
      <c r="G11" s="6"/>
      <c r="H11" s="71">
        <v>12300</v>
      </c>
      <c r="J11" s="101"/>
      <c r="K11" s="97"/>
      <c r="L11" s="104"/>
      <c r="M11" s="52"/>
    </row>
    <row r="12" spans="1:14" ht="12.75" customHeight="1" x14ac:dyDescent="0.25">
      <c r="A12" s="133">
        <f>'General Fund Revenues'!C46</f>
        <v>459500</v>
      </c>
      <c r="B12" s="29" t="s">
        <v>823</v>
      </c>
      <c r="C12" s="6"/>
      <c r="D12" s="6"/>
      <c r="E12" s="39">
        <f>'Emergency Mgmt'!C9</f>
        <v>500</v>
      </c>
      <c r="F12" s="29" t="s">
        <v>663</v>
      </c>
      <c r="G12" s="6"/>
      <c r="H12" s="71">
        <v>12500</v>
      </c>
      <c r="J12" s="37"/>
      <c r="K12" s="27"/>
      <c r="L12" s="104"/>
      <c r="M12" s="52"/>
    </row>
    <row r="13" spans="1:14" x14ac:dyDescent="0.25">
      <c r="A13" s="35">
        <f>'General Fund Revenues'!C47</f>
        <v>50000</v>
      </c>
      <c r="B13" s="29" t="s">
        <v>889</v>
      </c>
      <c r="C13" s="6"/>
      <c r="D13" s="6"/>
      <c r="E13" s="39">
        <f>'Animal Control'!D7</f>
        <v>3500</v>
      </c>
      <c r="F13" s="12" t="s">
        <v>60</v>
      </c>
      <c r="G13" s="6"/>
      <c r="H13" s="71">
        <v>12600</v>
      </c>
      <c r="J13" s="10"/>
      <c r="M13" s="52"/>
    </row>
    <row r="14" spans="1:14" x14ac:dyDescent="0.25">
      <c r="A14" s="35"/>
      <c r="B14" s="11"/>
      <c r="C14" s="6"/>
      <c r="D14" s="6"/>
      <c r="E14" s="39">
        <f>Streets!D67</f>
        <v>262271.23200000002</v>
      </c>
      <c r="F14" s="6" t="s">
        <v>51</v>
      </c>
      <c r="G14" s="6"/>
      <c r="H14" s="71">
        <v>13100</v>
      </c>
      <c r="J14" s="41"/>
      <c r="K14" s="77"/>
      <c r="L14" s="55"/>
      <c r="M14" s="55"/>
      <c r="N14" s="55"/>
    </row>
    <row r="15" spans="1:14" x14ac:dyDescent="0.25">
      <c r="A15" s="15"/>
      <c r="B15" s="11"/>
      <c r="C15" s="6"/>
      <c r="D15" s="6"/>
      <c r="E15" s="39">
        <f>Parks!D53</f>
        <v>52300</v>
      </c>
      <c r="F15" s="6" t="s">
        <v>52</v>
      </c>
      <c r="G15" s="6"/>
      <c r="H15" s="71">
        <v>14100</v>
      </c>
      <c r="J15" s="54"/>
      <c r="K15" s="76"/>
      <c r="L15" s="55"/>
      <c r="M15" s="55"/>
      <c r="N15" s="55"/>
    </row>
    <row r="16" spans="1:14" x14ac:dyDescent="0.25">
      <c r="A16" s="15"/>
      <c r="B16" s="11"/>
      <c r="C16" s="6"/>
      <c r="D16" s="6"/>
      <c r="E16" s="39">
        <f>'SWIM Center'!D69</f>
        <v>139605</v>
      </c>
      <c r="F16" s="6" t="s">
        <v>781</v>
      </c>
      <c r="G16" s="6"/>
      <c r="H16" s="71">
        <v>14200</v>
      </c>
      <c r="K16" s="65"/>
      <c r="L16" s="55"/>
      <c r="M16" s="130"/>
      <c r="N16" s="55"/>
    </row>
    <row r="17" spans="1:14" x14ac:dyDescent="0.25">
      <c r="A17" s="15"/>
      <c r="B17" s="11"/>
      <c r="C17" s="6"/>
      <c r="D17" s="6"/>
      <c r="E17" s="10">
        <f>Recreation!D35</f>
        <v>13365</v>
      </c>
      <c r="F17" s="49" t="s">
        <v>759</v>
      </c>
      <c r="G17" s="6"/>
      <c r="H17" s="71">
        <v>14300</v>
      </c>
      <c r="J17" s="10"/>
      <c r="K17" s="65"/>
      <c r="L17" s="27"/>
      <c r="M17" s="55"/>
      <c r="N17" s="27"/>
    </row>
    <row r="18" spans="1:14" x14ac:dyDescent="0.25">
      <c r="A18" s="15"/>
      <c r="B18" s="11"/>
      <c r="C18" s="6"/>
      <c r="D18" s="6"/>
      <c r="E18" s="116">
        <f>'Old Pool'!D8</f>
        <v>300</v>
      </c>
      <c r="F18" s="12" t="s">
        <v>577</v>
      </c>
      <c r="G18" s="6"/>
      <c r="H18" s="71">
        <v>14600</v>
      </c>
      <c r="M18" s="55"/>
    </row>
    <row r="19" spans="1:14" x14ac:dyDescent="0.25">
      <c r="A19" s="15"/>
      <c r="B19" s="11"/>
      <c r="C19" s="6"/>
      <c r="D19" s="6"/>
      <c r="E19" s="116">
        <f>'Special Revenue Funds-Fest Bldg'!D51</f>
        <v>30356</v>
      </c>
      <c r="F19" s="11" t="s">
        <v>466</v>
      </c>
      <c r="G19" s="6"/>
      <c r="H19" s="71">
        <v>270</v>
      </c>
      <c r="M19" s="55"/>
    </row>
    <row r="20" spans="1:14" x14ac:dyDescent="0.25">
      <c r="A20" s="15"/>
      <c r="B20" s="11"/>
      <c r="C20" s="6"/>
      <c r="D20" s="6"/>
      <c r="E20" s="158">
        <f>EDA!C7</f>
        <v>75000</v>
      </c>
      <c r="F20" s="29" t="s">
        <v>803</v>
      </c>
      <c r="G20" s="6"/>
      <c r="H20" s="7">
        <v>280</v>
      </c>
      <c r="M20" s="55"/>
    </row>
    <row r="21" spans="1:14" x14ac:dyDescent="0.25">
      <c r="A21" s="5"/>
      <c r="E21" s="10">
        <f>'Tax Abate LAX'!E7</f>
        <v>7000</v>
      </c>
      <c r="F21" s="29" t="s">
        <v>204</v>
      </c>
      <c r="G21" s="6"/>
      <c r="H21" s="71">
        <v>316</v>
      </c>
      <c r="M21" s="55"/>
    </row>
    <row r="22" spans="1:14" x14ac:dyDescent="0.25">
      <c r="C22" s="6"/>
      <c r="D22" s="6"/>
      <c r="E22" s="16">
        <v>25000</v>
      </c>
      <c r="F22" s="29" t="s">
        <v>804</v>
      </c>
      <c r="G22" s="6"/>
      <c r="H22" s="7">
        <v>435</v>
      </c>
      <c r="M22" s="55"/>
    </row>
    <row r="23" spans="1:14" x14ac:dyDescent="0.25">
      <c r="A23" s="15"/>
      <c r="B23" s="11"/>
      <c r="E23" s="16">
        <v>25000</v>
      </c>
      <c r="F23" s="29" t="s">
        <v>744</v>
      </c>
      <c r="G23" s="6"/>
      <c r="H23" s="7">
        <v>460</v>
      </c>
      <c r="M23" s="55"/>
    </row>
    <row r="24" spans="1:14" x14ac:dyDescent="0.25">
      <c r="A24" s="68"/>
      <c r="B24" s="11"/>
      <c r="E24" s="158">
        <f>'TIF GO 2015 (319)'!D18</f>
        <v>0</v>
      </c>
      <c r="F24" s="29" t="s">
        <v>1162</v>
      </c>
      <c r="G24" s="6"/>
      <c r="H24" s="7">
        <v>319</v>
      </c>
      <c r="M24" s="55"/>
    </row>
    <row r="25" spans="1:14" x14ac:dyDescent="0.25">
      <c r="A25" s="68"/>
      <c r="B25" s="11"/>
      <c r="J25" s="53"/>
      <c r="K25" s="52"/>
      <c r="M25" s="55"/>
    </row>
    <row r="26" spans="1:14" x14ac:dyDescent="0.25">
      <c r="A26" s="68"/>
      <c r="B26" s="11"/>
      <c r="E26" s="10"/>
      <c r="F26" s="29"/>
      <c r="G26" s="6"/>
      <c r="H26" s="71"/>
      <c r="J26" s="41"/>
      <c r="K26" s="27"/>
      <c r="M26" s="107"/>
    </row>
    <row r="27" spans="1:14" s="27" customFormat="1" x14ac:dyDescent="0.25">
      <c r="A27" s="5"/>
      <c r="B27" s="6"/>
      <c r="C27" s="6"/>
      <c r="D27" s="6"/>
      <c r="E27" s="16"/>
      <c r="G27" s="6"/>
      <c r="H27" s="7"/>
      <c r="J27" s="38"/>
      <c r="K27"/>
      <c r="M27" s="108"/>
    </row>
    <row r="28" spans="1:14" x14ac:dyDescent="0.25">
      <c r="A28" s="34">
        <f>SUM(A6:A27)</f>
        <v>1563214</v>
      </c>
      <c r="B28" s="6" t="s">
        <v>62</v>
      </c>
      <c r="C28" s="6"/>
      <c r="D28" s="6"/>
      <c r="E28" s="16">
        <f>SUM(E6:E27)</f>
        <v>1558067.8477</v>
      </c>
      <c r="F28" s="95" t="s">
        <v>64</v>
      </c>
      <c r="G28" s="6"/>
      <c r="H28" s="7"/>
      <c r="J28" s="39"/>
      <c r="M28" s="107"/>
    </row>
    <row r="29" spans="1:14" x14ac:dyDescent="0.25">
      <c r="A29" s="36"/>
      <c r="B29" s="6"/>
      <c r="C29" s="6"/>
      <c r="D29" s="6"/>
      <c r="E29" s="6"/>
      <c r="G29" s="6"/>
      <c r="H29" s="7"/>
      <c r="J29" s="44"/>
    </row>
    <row r="30" spans="1:14" x14ac:dyDescent="0.25">
      <c r="A30" s="60">
        <f>A28-E28</f>
        <v>5146.1522999999579</v>
      </c>
      <c r="B30" s="61" t="s">
        <v>767</v>
      </c>
      <c r="C30" s="8"/>
      <c r="D30" s="8"/>
      <c r="E30" s="8"/>
      <c r="F30" s="8"/>
      <c r="G30" s="8"/>
      <c r="H30" s="9"/>
      <c r="J30" s="89"/>
      <c r="K30" s="49"/>
    </row>
    <row r="31" spans="1:14" x14ac:dyDescent="0.25">
      <c r="A31" s="59" t="s">
        <v>806</v>
      </c>
      <c r="B31" s="6"/>
      <c r="C31" s="6"/>
      <c r="D31" s="6"/>
      <c r="E31" s="6"/>
      <c r="F31" s="90" t="s">
        <v>779</v>
      </c>
      <c r="G31" s="6"/>
      <c r="H31" s="7"/>
      <c r="J31" s="80"/>
      <c r="K31" s="86"/>
    </row>
    <row r="32" spans="1:14" x14ac:dyDescent="0.25">
      <c r="A32" s="5" t="s">
        <v>78</v>
      </c>
      <c r="B32" s="6"/>
      <c r="C32" s="6"/>
      <c r="D32" s="6"/>
      <c r="E32" s="6"/>
      <c r="F32" s="91" t="s">
        <v>774</v>
      </c>
      <c r="G32" s="6"/>
      <c r="H32" s="7"/>
      <c r="J32" s="81"/>
      <c r="K32" s="84"/>
    </row>
    <row r="33" spans="1:12" ht="15" x14ac:dyDescent="0.25">
      <c r="A33" s="117">
        <f>'Debt Service Summary'!E12</f>
        <v>123275</v>
      </c>
      <c r="B33" s="45" t="s">
        <v>61</v>
      </c>
      <c r="C33" s="6"/>
      <c r="D33" s="6"/>
      <c r="E33" s="6"/>
      <c r="F33" s="72" t="s">
        <v>775</v>
      </c>
      <c r="G33" s="6"/>
      <c r="H33" s="7"/>
      <c r="J33" s="82"/>
      <c r="K33" s="84"/>
    </row>
    <row r="34" spans="1:12" x14ac:dyDescent="0.25">
      <c r="A34" s="5"/>
      <c r="C34" s="6"/>
      <c r="D34" s="6"/>
      <c r="E34" s="6"/>
      <c r="F34" s="73" t="s">
        <v>776</v>
      </c>
      <c r="G34" s="6"/>
      <c r="H34" s="7"/>
      <c r="J34" s="83"/>
      <c r="K34" s="85"/>
    </row>
    <row r="35" spans="1:12" x14ac:dyDescent="0.25">
      <c r="A35" s="15"/>
      <c r="B35" s="27"/>
      <c r="C35" s="6"/>
      <c r="D35" s="6"/>
      <c r="E35" s="6"/>
      <c r="F35" s="74">
        <v>15000</v>
      </c>
      <c r="G35" s="6"/>
      <c r="H35" s="7"/>
      <c r="J35" s="29"/>
      <c r="K35" s="11"/>
    </row>
    <row r="36" spans="1:12" x14ac:dyDescent="0.25">
      <c r="A36" s="15">
        <v>123525</v>
      </c>
      <c r="B36" s="29" t="s">
        <v>772</v>
      </c>
      <c r="C36" s="6"/>
      <c r="D36" s="6"/>
      <c r="E36" s="6"/>
      <c r="F36" s="70"/>
      <c r="G36" s="6"/>
      <c r="H36" s="7"/>
      <c r="J36" s="84"/>
      <c r="K36" s="82"/>
      <c r="L36" s="33"/>
    </row>
    <row r="37" spans="1:12" x14ac:dyDescent="0.25">
      <c r="A37" s="15">
        <v>62472</v>
      </c>
      <c r="B37" s="49" t="s">
        <v>901</v>
      </c>
      <c r="C37" s="6"/>
      <c r="D37" s="6"/>
      <c r="E37" s="6"/>
      <c r="F37" s="78" t="s">
        <v>774</v>
      </c>
      <c r="G37" s="6"/>
      <c r="H37" s="7"/>
      <c r="J37" s="84"/>
      <c r="K37" s="87"/>
      <c r="L37" s="33"/>
    </row>
    <row r="38" spans="1:12" x14ac:dyDescent="0.25">
      <c r="A38" s="66">
        <f>'Debt Service Summary'!E7</f>
        <v>48510</v>
      </c>
      <c r="B38" s="29" t="s">
        <v>773</v>
      </c>
      <c r="C38" s="6"/>
      <c r="D38" s="6"/>
      <c r="E38" s="6"/>
      <c r="F38" s="78" t="s">
        <v>780</v>
      </c>
      <c r="G38" s="6"/>
      <c r="H38" s="7"/>
      <c r="J38" s="85"/>
      <c r="K38" s="88"/>
      <c r="L38" s="33"/>
    </row>
    <row r="39" spans="1:12" x14ac:dyDescent="0.25">
      <c r="A39" s="66">
        <f>SUM(A35:A38)</f>
        <v>234507</v>
      </c>
      <c r="B39" s="69" t="s">
        <v>777</v>
      </c>
      <c r="C39" s="8"/>
      <c r="D39" s="8"/>
      <c r="E39" s="8"/>
      <c r="F39" s="79">
        <v>12500</v>
      </c>
      <c r="G39" s="8"/>
      <c r="H39" s="9"/>
      <c r="K39" s="10"/>
      <c r="L39" s="38"/>
    </row>
    <row r="40" spans="1:12" x14ac:dyDescent="0.25">
      <c r="A40" s="16"/>
      <c r="B40" s="50"/>
      <c r="E40" s="6"/>
      <c r="F40" s="6"/>
      <c r="K40" s="10"/>
      <c r="L40" s="38"/>
    </row>
    <row r="41" spans="1:12" x14ac:dyDescent="0.25">
      <c r="A41" s="16"/>
      <c r="B41" s="6"/>
      <c r="L41" s="38"/>
    </row>
    <row r="42" spans="1:12" x14ac:dyDescent="0.25">
      <c r="A42" s="16"/>
      <c r="B42" s="6"/>
    </row>
    <row r="43" spans="1:12" x14ac:dyDescent="0.25">
      <c r="A43" s="6"/>
      <c r="B43" s="6"/>
    </row>
    <row r="44" spans="1:12" x14ac:dyDescent="0.25">
      <c r="A44" s="11"/>
    </row>
    <row r="45" spans="1:12" x14ac:dyDescent="0.25">
      <c r="A45" s="75"/>
    </row>
    <row r="46" spans="1:12" x14ac:dyDescent="0.25">
      <c r="A46" s="11"/>
    </row>
    <row r="47" spans="1:12" x14ac:dyDescent="0.25">
      <c r="A47" s="6"/>
    </row>
    <row r="48" spans="1:12" x14ac:dyDescent="0.25">
      <c r="A48" s="6"/>
    </row>
    <row r="49" spans="1:1" x14ac:dyDescent="0.25">
      <c r="A49" s="6"/>
    </row>
  </sheetData>
  <phoneticPr fontId="2" type="noConversion"/>
  <pageMargins left="0" right="0" top="0.75" bottom="0.75" header="0.3" footer="0.3"/>
  <pageSetup orientation="landscape" r:id="rId1"/>
  <headerFooter alignWithMargins="0">
    <oddHeader xml:space="preserve">&amp;RRevised 10/31/2016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"/>
  <sheetViews>
    <sheetView workbookViewId="0">
      <selection activeCell="B20" sqref="B20"/>
    </sheetView>
  </sheetViews>
  <sheetFormatPr defaultRowHeight="13.2" x14ac:dyDescent="0.25"/>
  <cols>
    <col min="1" max="1" width="16.6640625" customWidth="1"/>
    <col min="2" max="2" width="27.88671875" bestFit="1" customWidth="1"/>
    <col min="3" max="8" width="11.6640625" customWidth="1"/>
  </cols>
  <sheetData>
    <row r="1" spans="1:13" ht="15.6" x14ac:dyDescent="0.3">
      <c r="B1" s="14" t="s">
        <v>764</v>
      </c>
      <c r="C1" s="1">
        <v>2020</v>
      </c>
      <c r="D1" s="1">
        <v>2019</v>
      </c>
      <c r="E1" s="42">
        <v>2019</v>
      </c>
      <c r="F1" s="42">
        <v>2018</v>
      </c>
      <c r="G1" s="42">
        <v>2018</v>
      </c>
      <c r="H1" s="42">
        <v>2017</v>
      </c>
      <c r="I1" s="42"/>
      <c r="J1" s="42"/>
      <c r="K1" s="17"/>
      <c r="L1" s="42"/>
      <c r="M1" s="17"/>
    </row>
    <row r="2" spans="1:13" x14ac:dyDescent="0.25">
      <c r="C2" s="1" t="s">
        <v>506</v>
      </c>
      <c r="D2" s="1" t="s">
        <v>1206</v>
      </c>
      <c r="E2" s="42" t="s">
        <v>506</v>
      </c>
      <c r="F2" s="42" t="s">
        <v>807</v>
      </c>
      <c r="G2" s="42" t="s">
        <v>506</v>
      </c>
      <c r="H2" s="42" t="s">
        <v>807</v>
      </c>
      <c r="I2" s="56"/>
      <c r="J2" s="42"/>
      <c r="K2" s="42"/>
      <c r="L2" s="42"/>
      <c r="M2" s="18"/>
    </row>
    <row r="3" spans="1:13" x14ac:dyDescent="0.25">
      <c r="B3" s="30"/>
      <c r="C3" s="30"/>
      <c r="D3" s="30"/>
      <c r="E3" s="30"/>
      <c r="F3" s="30"/>
      <c r="G3" s="30"/>
      <c r="H3" s="30"/>
      <c r="I3" s="31"/>
      <c r="J3" s="31"/>
      <c r="K3" s="31"/>
      <c r="L3" s="32"/>
      <c r="M3" s="23"/>
    </row>
    <row r="4" spans="1:13" x14ac:dyDescent="0.25">
      <c r="A4" t="s">
        <v>79</v>
      </c>
      <c r="I4" s="17"/>
      <c r="J4" s="17"/>
      <c r="K4" s="17"/>
      <c r="L4" s="1"/>
      <c r="M4" s="18"/>
    </row>
    <row r="5" spans="1:13" x14ac:dyDescent="0.25">
      <c r="A5" s="27" t="s">
        <v>766</v>
      </c>
      <c r="B5" s="27" t="s">
        <v>581</v>
      </c>
      <c r="C5" s="57">
        <v>500</v>
      </c>
      <c r="D5" s="57">
        <v>0</v>
      </c>
      <c r="E5" s="57">
        <v>500</v>
      </c>
      <c r="F5" s="57">
        <v>2233.8000000000002</v>
      </c>
      <c r="G5" s="57">
        <v>500</v>
      </c>
      <c r="H5" s="57">
        <v>543.91999999999996</v>
      </c>
      <c r="I5" s="10"/>
      <c r="J5" s="10"/>
      <c r="K5" s="10"/>
      <c r="L5" s="10"/>
      <c r="M5" s="10"/>
    </row>
    <row r="6" spans="1:13" x14ac:dyDescent="0.25">
      <c r="A6" s="27" t="s">
        <v>784</v>
      </c>
      <c r="B6" s="27" t="s">
        <v>89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10"/>
      <c r="J6" s="10"/>
      <c r="K6" s="10"/>
      <c r="L6" s="10"/>
      <c r="M6" s="10"/>
    </row>
    <row r="7" spans="1:13" x14ac:dyDescent="0.25">
      <c r="A7" s="27" t="s">
        <v>765</v>
      </c>
      <c r="B7" s="27" t="s">
        <v>91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10"/>
      <c r="J7" s="10"/>
      <c r="K7" s="10"/>
      <c r="L7" s="10"/>
      <c r="M7" s="10"/>
    </row>
    <row r="8" spans="1:13" x14ac:dyDescent="0.25">
      <c r="A8" s="27"/>
      <c r="B8" s="27"/>
      <c r="C8" s="57"/>
      <c r="D8" s="57"/>
      <c r="E8" s="57"/>
      <c r="F8" s="57"/>
      <c r="G8" s="57"/>
      <c r="H8" s="57"/>
      <c r="I8" s="10"/>
      <c r="J8" s="10"/>
      <c r="K8" s="10"/>
      <c r="L8" s="10"/>
      <c r="M8" s="10"/>
    </row>
    <row r="9" spans="1:13" x14ac:dyDescent="0.25">
      <c r="B9" t="s">
        <v>58</v>
      </c>
      <c r="C9" s="10">
        <f>SUM(C5:C7)</f>
        <v>500</v>
      </c>
      <c r="D9" s="10">
        <f>SUM(D5:D8)</f>
        <v>0</v>
      </c>
      <c r="E9" s="10">
        <f>SUM(E5:E7)</f>
        <v>500</v>
      </c>
      <c r="F9" s="10">
        <f>SUM(F5:F8)</f>
        <v>2233.8000000000002</v>
      </c>
      <c r="G9" s="10">
        <f>SUM(G5:G8)</f>
        <v>500</v>
      </c>
      <c r="H9" s="10">
        <f>SUM(H5:H8)</f>
        <v>543.91999999999996</v>
      </c>
      <c r="I9" s="10"/>
      <c r="J9" s="10"/>
      <c r="K9" s="10"/>
      <c r="L9" s="10"/>
      <c r="M9" s="10"/>
    </row>
    <row r="13" spans="1:13" x14ac:dyDescent="0.25">
      <c r="A13" s="28" t="s">
        <v>961</v>
      </c>
    </row>
  </sheetData>
  <pageMargins left="0.7" right="0.7" top="0.75" bottom="0.75" header="0.3" footer="0.3"/>
  <pageSetup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I30" sqref="I30"/>
    </sheetView>
  </sheetViews>
  <sheetFormatPr defaultRowHeight="13.2" x14ac:dyDescent="0.25"/>
  <cols>
    <col min="1" max="1" width="17.6640625" customWidth="1"/>
    <col min="2" max="2" width="28.5546875" customWidth="1"/>
    <col min="3" max="3" width="5.6640625" customWidth="1"/>
    <col min="4" max="10" width="11.6640625" customWidth="1"/>
  </cols>
  <sheetData>
    <row r="1" spans="1:12" ht="15.6" x14ac:dyDescent="0.3">
      <c r="B1" s="14" t="s">
        <v>602</v>
      </c>
      <c r="D1" s="1">
        <v>2020</v>
      </c>
      <c r="E1" s="1">
        <v>2019</v>
      </c>
      <c r="F1" s="1">
        <v>2019</v>
      </c>
      <c r="G1" s="42">
        <v>2018</v>
      </c>
      <c r="H1" s="42">
        <v>2018</v>
      </c>
      <c r="I1" s="17">
        <v>2017</v>
      </c>
      <c r="J1" s="42">
        <v>2016</v>
      </c>
    </row>
    <row r="2" spans="1:12" x14ac:dyDescent="0.25">
      <c r="D2" s="1" t="s">
        <v>506</v>
      </c>
      <c r="E2" s="1" t="s">
        <v>1206</v>
      </c>
      <c r="F2" s="1" t="s">
        <v>506</v>
      </c>
      <c r="G2" s="42" t="s">
        <v>807</v>
      </c>
      <c r="H2" s="42" t="s">
        <v>506</v>
      </c>
      <c r="I2" s="42" t="s">
        <v>807</v>
      </c>
      <c r="J2" s="42" t="s">
        <v>807</v>
      </c>
    </row>
    <row r="5" spans="1:12" x14ac:dyDescent="0.25">
      <c r="A5" t="s">
        <v>603</v>
      </c>
      <c r="B5" s="13" t="s">
        <v>576</v>
      </c>
      <c r="D5" s="159">
        <v>3500</v>
      </c>
      <c r="E5" s="10">
        <v>1936.95</v>
      </c>
      <c r="F5" s="10">
        <v>2500</v>
      </c>
      <c r="G5" s="10">
        <v>2500</v>
      </c>
      <c r="H5" s="10">
        <v>2500</v>
      </c>
      <c r="I5" s="10">
        <v>2500</v>
      </c>
      <c r="J5" s="10">
        <v>2550</v>
      </c>
    </row>
    <row r="6" spans="1:12" x14ac:dyDescent="0.25">
      <c r="D6" s="10"/>
      <c r="E6" s="10"/>
      <c r="F6" s="10"/>
      <c r="G6" s="10"/>
      <c r="H6" s="10"/>
      <c r="I6" s="10"/>
      <c r="J6" s="10"/>
      <c r="L6" s="27"/>
    </row>
    <row r="7" spans="1:12" x14ac:dyDescent="0.25">
      <c r="B7" t="s">
        <v>748</v>
      </c>
      <c r="D7" s="10">
        <v>3500</v>
      </c>
      <c r="E7" s="10">
        <v>1936.95</v>
      </c>
      <c r="F7" s="10">
        <v>2500</v>
      </c>
      <c r="G7" s="10">
        <v>2500</v>
      </c>
      <c r="H7" s="10">
        <f>SUM(H5:H6)</f>
        <v>2500</v>
      </c>
      <c r="I7" s="10">
        <f>SUM(I5:I6)</f>
        <v>2500</v>
      </c>
      <c r="J7" s="10">
        <f>SUM(J5:J6)</f>
        <v>2550</v>
      </c>
    </row>
    <row r="12" spans="1:12" x14ac:dyDescent="0.25">
      <c r="A12" s="28"/>
    </row>
  </sheetData>
  <pageMargins left="0.25" right="0.25" top="0.75" bottom="0.75" header="0.3" footer="0.3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1"/>
  <sheetViews>
    <sheetView tabSelected="1" topLeftCell="A34" workbookViewId="0">
      <selection activeCell="E60" sqref="E60"/>
    </sheetView>
  </sheetViews>
  <sheetFormatPr defaultRowHeight="13.2" x14ac:dyDescent="0.25"/>
  <cols>
    <col min="1" max="1" width="20.44140625" customWidth="1"/>
    <col min="2" max="2" width="31.44140625" customWidth="1"/>
    <col min="3" max="3" width="2.6640625" customWidth="1"/>
    <col min="4" max="5" width="11.6640625" customWidth="1"/>
    <col min="6" max="6" width="11.5546875" customWidth="1"/>
    <col min="7" max="10" width="11.6640625" customWidth="1"/>
  </cols>
  <sheetData>
    <row r="1" spans="1:10" ht="15.6" x14ac:dyDescent="0.3">
      <c r="B1" s="14" t="s">
        <v>1128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17">
        <v>2017</v>
      </c>
      <c r="J1" s="17">
        <v>2016</v>
      </c>
    </row>
    <row r="2" spans="1:10" x14ac:dyDescent="0.25"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 t="s">
        <v>807</v>
      </c>
      <c r="J2" s="42" t="s">
        <v>807</v>
      </c>
    </row>
    <row r="3" spans="1:10" x14ac:dyDescent="0.25">
      <c r="J3" s="42"/>
    </row>
    <row r="4" spans="1:10" x14ac:dyDescent="0.25">
      <c r="A4" t="s">
        <v>78</v>
      </c>
      <c r="J4" s="42"/>
    </row>
    <row r="5" spans="1:10" x14ac:dyDescent="0.25">
      <c r="A5" s="27" t="s">
        <v>1005</v>
      </c>
      <c r="B5" s="27" t="s">
        <v>998</v>
      </c>
      <c r="D5" s="10">
        <v>13000</v>
      </c>
      <c r="E5" s="10">
        <v>0</v>
      </c>
      <c r="F5" s="10">
        <v>13000</v>
      </c>
      <c r="G5" s="10">
        <v>13486</v>
      </c>
      <c r="H5" s="10">
        <v>13000</v>
      </c>
      <c r="I5" s="10">
        <v>13755</v>
      </c>
      <c r="J5" s="113">
        <v>0</v>
      </c>
    </row>
    <row r="6" spans="1:10" x14ac:dyDescent="0.25">
      <c r="A6" t="s">
        <v>1002</v>
      </c>
      <c r="B6" t="s">
        <v>976</v>
      </c>
      <c r="D6" s="159">
        <v>25000</v>
      </c>
      <c r="E6" s="10">
        <v>22787.34</v>
      </c>
      <c r="F6" s="10">
        <v>22000</v>
      </c>
      <c r="G6" s="10">
        <v>22196.87</v>
      </c>
      <c r="H6" s="10">
        <v>22000</v>
      </c>
      <c r="I6" s="10">
        <v>19876.29</v>
      </c>
      <c r="J6" s="113">
        <v>20441.27</v>
      </c>
    </row>
    <row r="7" spans="1:10" x14ac:dyDescent="0.25">
      <c r="A7" t="s">
        <v>1003</v>
      </c>
      <c r="B7" t="s">
        <v>1004</v>
      </c>
      <c r="D7" s="10">
        <v>250</v>
      </c>
      <c r="E7" s="10">
        <v>124.41</v>
      </c>
      <c r="F7" s="10">
        <v>250</v>
      </c>
      <c r="G7" s="10">
        <v>132.31</v>
      </c>
      <c r="H7" s="10">
        <v>250</v>
      </c>
      <c r="I7" s="10">
        <v>143.58000000000001</v>
      </c>
      <c r="J7" s="113">
        <v>145.56</v>
      </c>
    </row>
    <row r="8" spans="1:10" x14ac:dyDescent="0.25">
      <c r="A8" s="27" t="s">
        <v>1100</v>
      </c>
      <c r="B8" s="27" t="s">
        <v>794</v>
      </c>
      <c r="D8" s="10">
        <v>0</v>
      </c>
      <c r="E8" s="10">
        <v>2468.75</v>
      </c>
      <c r="F8" s="10">
        <v>0</v>
      </c>
      <c r="G8" s="10">
        <v>0</v>
      </c>
      <c r="H8" s="10">
        <v>0</v>
      </c>
      <c r="I8" s="10">
        <v>1000</v>
      </c>
      <c r="J8" s="113">
        <v>0</v>
      </c>
    </row>
    <row r="9" spans="1:10" x14ac:dyDescent="0.25">
      <c r="A9" s="27" t="s">
        <v>1101</v>
      </c>
      <c r="B9" s="27" t="s">
        <v>1102</v>
      </c>
      <c r="D9" s="10"/>
      <c r="E9" s="10">
        <v>0</v>
      </c>
      <c r="F9" s="10">
        <v>10000</v>
      </c>
      <c r="G9" s="10">
        <v>106125</v>
      </c>
      <c r="H9" s="10">
        <v>0</v>
      </c>
      <c r="I9" s="10">
        <v>0</v>
      </c>
      <c r="J9" s="113">
        <v>0</v>
      </c>
    </row>
    <row r="10" spans="1:10" x14ac:dyDescent="0.25">
      <c r="D10" s="10"/>
      <c r="E10" s="10"/>
      <c r="F10" s="10"/>
      <c r="G10" s="10"/>
      <c r="H10" s="10"/>
      <c r="I10" s="10"/>
      <c r="J10" s="113"/>
    </row>
    <row r="11" spans="1:10" x14ac:dyDescent="0.25">
      <c r="D11" s="10">
        <f>SUM(D5:D9)</f>
        <v>38250</v>
      </c>
      <c r="E11" s="10">
        <f>SUM(E5:E9)</f>
        <v>25380.5</v>
      </c>
      <c r="F11" s="10">
        <f>SUM(F5:F9)</f>
        <v>45250</v>
      </c>
      <c r="G11" s="10">
        <f>SUM(G5:G10)</f>
        <v>141940.18</v>
      </c>
      <c r="H11" s="10">
        <f>SUM(H5:H10)</f>
        <v>35250</v>
      </c>
      <c r="I11" s="10">
        <f>SUM(I5:I9)</f>
        <v>34774.870000000003</v>
      </c>
      <c r="J11" s="113">
        <f>SUM(J5:J10)</f>
        <v>20586.830000000002</v>
      </c>
    </row>
    <row r="12" spans="1:10" x14ac:dyDescent="0.25">
      <c r="D12" s="10"/>
      <c r="E12" s="10"/>
      <c r="F12" s="10"/>
      <c r="G12" s="10"/>
      <c r="H12" s="10"/>
      <c r="I12" s="10"/>
      <c r="J12" s="113"/>
    </row>
    <row r="13" spans="1:10" x14ac:dyDescent="0.25">
      <c r="A13" t="s">
        <v>79</v>
      </c>
      <c r="D13" s="10"/>
      <c r="E13" s="10"/>
      <c r="F13" s="10"/>
      <c r="G13" s="10"/>
      <c r="H13" s="10"/>
      <c r="I13" s="10"/>
      <c r="J13" s="113"/>
    </row>
    <row r="14" spans="1:10" x14ac:dyDescent="0.25">
      <c r="A14" t="s">
        <v>192</v>
      </c>
      <c r="D14" s="10"/>
      <c r="E14" s="10"/>
      <c r="F14" s="10"/>
      <c r="G14" s="10"/>
      <c r="H14" s="10"/>
      <c r="I14" s="10"/>
    </row>
    <row r="15" spans="1:10" x14ac:dyDescent="0.25">
      <c r="A15" t="s">
        <v>262</v>
      </c>
      <c r="B15" t="s">
        <v>98</v>
      </c>
      <c r="D15" s="10">
        <v>37627.199999999997</v>
      </c>
      <c r="E15" s="10">
        <v>34760.01</v>
      </c>
      <c r="F15" s="10">
        <f>17.38*2080</f>
        <v>36150.400000000001</v>
      </c>
      <c r="G15" s="10">
        <v>34922.660000000003</v>
      </c>
      <c r="H15" s="10">
        <f>16.71*2080</f>
        <v>34756.800000000003</v>
      </c>
      <c r="I15" s="10">
        <v>47910</v>
      </c>
      <c r="J15" s="10">
        <v>35258.93</v>
      </c>
    </row>
    <row r="16" spans="1:10" x14ac:dyDescent="0.25">
      <c r="A16" t="s">
        <v>263</v>
      </c>
      <c r="B16" t="s">
        <v>99</v>
      </c>
      <c r="D16" s="10">
        <v>5000</v>
      </c>
      <c r="E16" s="10">
        <v>6563.14</v>
      </c>
      <c r="F16" s="10">
        <v>5000</v>
      </c>
      <c r="G16" s="10">
        <v>6168.79</v>
      </c>
      <c r="H16" s="10">
        <v>5000</v>
      </c>
      <c r="I16" s="10">
        <v>5321</v>
      </c>
      <c r="J16" s="10">
        <v>5407.11</v>
      </c>
    </row>
    <row r="17" spans="1:13" x14ac:dyDescent="0.25">
      <c r="A17" t="s">
        <v>531</v>
      </c>
      <c r="B17" t="s">
        <v>532</v>
      </c>
      <c r="D17" s="10">
        <v>14060.8</v>
      </c>
      <c r="E17" s="10">
        <v>17184.75</v>
      </c>
      <c r="F17" s="10">
        <v>13509.6</v>
      </c>
      <c r="G17" s="10">
        <v>20457.939999999999</v>
      </c>
      <c r="H17" s="10">
        <v>13000</v>
      </c>
      <c r="I17" s="10">
        <v>9094</v>
      </c>
      <c r="J17" s="10">
        <v>11870.59</v>
      </c>
    </row>
    <row r="18" spans="1:13" x14ac:dyDescent="0.25">
      <c r="A18" t="s">
        <v>493</v>
      </c>
      <c r="B18" t="s">
        <v>46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3" x14ac:dyDescent="0.25">
      <c r="A19" t="s">
        <v>188</v>
      </c>
      <c r="D19" s="10"/>
      <c r="E19" s="10"/>
      <c r="F19" s="10"/>
      <c r="G19" s="10"/>
      <c r="H19" s="10"/>
      <c r="I19" s="10"/>
      <c r="J19" s="10"/>
      <c r="M19" s="22"/>
    </row>
    <row r="20" spans="1:13" x14ac:dyDescent="0.25">
      <c r="A20" t="s">
        <v>264</v>
      </c>
      <c r="B20" t="s">
        <v>190</v>
      </c>
      <c r="D20" s="10">
        <f>0.075*SUM(D15:D18)</f>
        <v>4251.5999999999995</v>
      </c>
      <c r="E20" s="10">
        <v>4080.28</v>
      </c>
      <c r="F20" s="10">
        <f>0.075*SUM(F15:F18)</f>
        <v>4099.5</v>
      </c>
      <c r="G20" s="10">
        <v>3808.78</v>
      </c>
      <c r="H20" s="10">
        <f>0.075*SUM(H15:H18)</f>
        <v>3956.76</v>
      </c>
      <c r="I20" s="10">
        <v>4672</v>
      </c>
      <c r="J20" s="10">
        <v>4182.2</v>
      </c>
    </row>
    <row r="21" spans="1:13" x14ac:dyDescent="0.25">
      <c r="A21" t="s">
        <v>265</v>
      </c>
      <c r="B21" t="s">
        <v>82</v>
      </c>
      <c r="D21" s="10">
        <f>0.062*SUM(D15:D18)</f>
        <v>3514.6559999999999</v>
      </c>
      <c r="E21" s="10">
        <v>3627.45</v>
      </c>
      <c r="F21" s="10">
        <f>0.062*SUM(F15:F18)</f>
        <v>3388.92</v>
      </c>
      <c r="G21" s="10">
        <v>3787.44</v>
      </c>
      <c r="H21" s="10">
        <f>0.062*SUM(H15:H18)</f>
        <v>3270.9216000000001</v>
      </c>
      <c r="I21" s="10">
        <v>3847</v>
      </c>
      <c r="J21" s="10">
        <v>3425.1</v>
      </c>
    </row>
    <row r="22" spans="1:13" x14ac:dyDescent="0.25">
      <c r="A22" t="s">
        <v>266</v>
      </c>
      <c r="B22" t="s">
        <v>84</v>
      </c>
      <c r="D22" s="10">
        <f>0.0145*SUM(D15:D18)</f>
        <v>821.976</v>
      </c>
      <c r="E22" s="10">
        <v>848.36</v>
      </c>
      <c r="F22" s="10">
        <f>0.0145*SUM(F15:F18)</f>
        <v>792.57</v>
      </c>
      <c r="G22" s="10">
        <v>885.75</v>
      </c>
      <c r="H22" s="10">
        <f>0.0145*SUM(H15:H18)</f>
        <v>764.97360000000003</v>
      </c>
      <c r="I22" s="10">
        <v>899.75</v>
      </c>
      <c r="J22" s="10">
        <v>800.53</v>
      </c>
    </row>
    <row r="23" spans="1:13" x14ac:dyDescent="0.25">
      <c r="A23" t="s">
        <v>183</v>
      </c>
      <c r="D23" s="10"/>
      <c r="E23" s="10"/>
      <c r="F23" s="10"/>
      <c r="G23" s="10"/>
      <c r="H23" s="10"/>
      <c r="I23" s="10"/>
      <c r="J23" s="10"/>
    </row>
    <row r="24" spans="1:13" x14ac:dyDescent="0.25">
      <c r="A24" t="s">
        <v>267</v>
      </c>
      <c r="B24" t="s">
        <v>185</v>
      </c>
      <c r="D24" s="10">
        <v>22800</v>
      </c>
      <c r="E24" s="10">
        <v>8410.8799999999992</v>
      </c>
      <c r="F24" s="10">
        <f>950*12</f>
        <v>11400</v>
      </c>
      <c r="G24" s="10">
        <v>8253.6</v>
      </c>
      <c r="H24" s="10">
        <v>10800</v>
      </c>
      <c r="I24" s="10">
        <v>12045</v>
      </c>
      <c r="J24" s="10">
        <v>8833</v>
      </c>
    </row>
    <row r="25" spans="1:13" x14ac:dyDescent="0.25">
      <c r="A25" t="s">
        <v>268</v>
      </c>
      <c r="B25" t="s">
        <v>187</v>
      </c>
      <c r="D25" s="10">
        <v>795</v>
      </c>
      <c r="E25" s="10">
        <v>769.14</v>
      </c>
      <c r="F25" s="10">
        <v>765</v>
      </c>
      <c r="G25" s="10">
        <v>741.99</v>
      </c>
      <c r="H25" s="10">
        <v>734.64</v>
      </c>
      <c r="I25" s="10">
        <v>890.1</v>
      </c>
      <c r="J25" s="10">
        <v>629.1</v>
      </c>
    </row>
    <row r="26" spans="1:13" x14ac:dyDescent="0.25">
      <c r="A26" t="s">
        <v>43</v>
      </c>
      <c r="D26" s="10"/>
      <c r="E26" s="10"/>
      <c r="F26" s="10"/>
      <c r="G26" s="10"/>
      <c r="H26" s="10"/>
      <c r="I26" s="10"/>
      <c r="J26" s="10"/>
    </row>
    <row r="27" spans="1:13" x14ac:dyDescent="0.25">
      <c r="A27" t="s">
        <v>269</v>
      </c>
      <c r="B27" t="s">
        <v>182</v>
      </c>
      <c r="D27" s="10">
        <v>2000</v>
      </c>
      <c r="E27" s="10">
        <v>1754</v>
      </c>
      <c r="F27" s="10">
        <v>2500</v>
      </c>
      <c r="G27" s="10">
        <v>2540.4299999999998</v>
      </c>
      <c r="H27" s="10">
        <v>4000</v>
      </c>
      <c r="I27" s="10">
        <v>5086.34</v>
      </c>
      <c r="J27" s="10">
        <v>3641.5</v>
      </c>
    </row>
    <row r="28" spans="1:13" x14ac:dyDescent="0.25">
      <c r="A28" t="s">
        <v>33</v>
      </c>
      <c r="D28" s="10"/>
      <c r="E28" s="10"/>
      <c r="F28" s="10"/>
      <c r="G28" s="10"/>
      <c r="H28" s="10"/>
      <c r="I28" s="10"/>
      <c r="J28" s="10"/>
    </row>
    <row r="29" spans="1:13" x14ac:dyDescent="0.25">
      <c r="A29" t="s">
        <v>270</v>
      </c>
      <c r="B29" t="s">
        <v>42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47.77</v>
      </c>
    </row>
    <row r="30" spans="1:13" x14ac:dyDescent="0.25">
      <c r="A30" t="s">
        <v>149</v>
      </c>
      <c r="D30" s="10"/>
      <c r="E30" s="10"/>
      <c r="F30" s="10"/>
      <c r="G30" s="10"/>
      <c r="H30" s="10"/>
      <c r="I30" s="10"/>
      <c r="J30" s="10"/>
    </row>
    <row r="31" spans="1:13" x14ac:dyDescent="0.25">
      <c r="A31" t="s">
        <v>271</v>
      </c>
      <c r="B31" t="s">
        <v>152</v>
      </c>
      <c r="D31" s="10">
        <v>10000</v>
      </c>
      <c r="E31" s="10">
        <v>11461.97</v>
      </c>
      <c r="F31" s="10">
        <v>15000</v>
      </c>
      <c r="G31" s="10">
        <v>10773.98</v>
      </c>
      <c r="H31" s="10">
        <v>15000</v>
      </c>
      <c r="I31" s="10">
        <f>11703.5+74.25</f>
        <v>11777.75</v>
      </c>
      <c r="J31" s="10">
        <v>6845.17</v>
      </c>
    </row>
    <row r="32" spans="1:13" x14ac:dyDescent="0.25">
      <c r="A32" t="s">
        <v>272</v>
      </c>
      <c r="B32" t="s">
        <v>174</v>
      </c>
      <c r="D32" s="10">
        <v>3000</v>
      </c>
      <c r="E32" s="10">
        <v>3497.73</v>
      </c>
      <c r="F32" s="10">
        <v>1000</v>
      </c>
      <c r="G32" s="10">
        <v>771.8</v>
      </c>
      <c r="H32" s="10">
        <v>1000</v>
      </c>
      <c r="I32" s="10">
        <v>1222.5</v>
      </c>
      <c r="J32" s="10">
        <v>663.65</v>
      </c>
    </row>
    <row r="33" spans="1:10" x14ac:dyDescent="0.25">
      <c r="A33" t="s">
        <v>273</v>
      </c>
      <c r="B33" t="s">
        <v>31</v>
      </c>
      <c r="D33" s="10">
        <v>0</v>
      </c>
      <c r="E33" s="10">
        <v>43.9</v>
      </c>
      <c r="F33" s="10">
        <v>200</v>
      </c>
      <c r="G33" s="10">
        <v>183.06</v>
      </c>
      <c r="H33" s="10">
        <v>0</v>
      </c>
      <c r="I33" s="10">
        <v>0</v>
      </c>
      <c r="J33" s="10">
        <v>48.93</v>
      </c>
    </row>
    <row r="34" spans="1:10" x14ac:dyDescent="0.25">
      <c r="A34" t="s">
        <v>274</v>
      </c>
      <c r="B34" t="s">
        <v>32</v>
      </c>
      <c r="D34" s="10">
        <v>5000</v>
      </c>
      <c r="E34" s="10">
        <v>5251.3</v>
      </c>
      <c r="F34" s="10">
        <v>4000</v>
      </c>
      <c r="G34" s="10">
        <v>48376.76</v>
      </c>
      <c r="H34" s="10">
        <v>1400</v>
      </c>
      <c r="I34" s="10">
        <v>27590.15</v>
      </c>
      <c r="J34" s="10">
        <v>4044.93</v>
      </c>
    </row>
    <row r="35" spans="1:10" x14ac:dyDescent="0.25">
      <c r="A35" t="s">
        <v>23</v>
      </c>
      <c r="D35" s="10"/>
      <c r="E35" s="10"/>
      <c r="F35" s="10"/>
      <c r="G35" s="10"/>
      <c r="H35" s="10"/>
      <c r="I35" s="10"/>
      <c r="J35" s="10"/>
    </row>
    <row r="36" spans="1:10" x14ac:dyDescent="0.25">
      <c r="A36" t="s">
        <v>275</v>
      </c>
      <c r="B36" t="s">
        <v>141</v>
      </c>
      <c r="D36" s="10">
        <v>6500</v>
      </c>
      <c r="E36" s="10">
        <v>7490.91</v>
      </c>
      <c r="F36" s="10">
        <v>6500</v>
      </c>
      <c r="G36" s="10">
        <v>13367.79</v>
      </c>
      <c r="H36" s="10">
        <v>5000</v>
      </c>
      <c r="I36" s="10">
        <v>11619.84</v>
      </c>
      <c r="J36" s="10">
        <v>8339.66</v>
      </c>
    </row>
    <row r="37" spans="1:10" x14ac:dyDescent="0.25">
      <c r="A37" t="s">
        <v>276</v>
      </c>
      <c r="B37" t="s">
        <v>142</v>
      </c>
      <c r="D37" s="10">
        <v>2000</v>
      </c>
      <c r="E37" s="10">
        <v>0</v>
      </c>
      <c r="F37" s="10">
        <v>2000</v>
      </c>
      <c r="G37" s="10">
        <v>2396.7600000000002</v>
      </c>
      <c r="H37" s="10">
        <v>2000</v>
      </c>
      <c r="I37" s="10">
        <v>350</v>
      </c>
      <c r="J37" s="10">
        <v>772</v>
      </c>
    </row>
    <row r="38" spans="1:10" x14ac:dyDescent="0.25">
      <c r="A38" t="s">
        <v>277</v>
      </c>
      <c r="B38" t="s">
        <v>144</v>
      </c>
      <c r="D38" s="10">
        <v>6000</v>
      </c>
      <c r="E38" s="10">
        <v>6374.23</v>
      </c>
      <c r="F38" s="10">
        <v>6000</v>
      </c>
      <c r="G38" s="10">
        <v>26432.36</v>
      </c>
      <c r="H38" s="10">
        <v>5000</v>
      </c>
      <c r="I38" s="10">
        <v>10669.83</v>
      </c>
      <c r="J38" s="10">
        <v>6181.25</v>
      </c>
    </row>
    <row r="39" spans="1:10" x14ac:dyDescent="0.25">
      <c r="A39" t="s">
        <v>278</v>
      </c>
      <c r="B39" t="s">
        <v>146</v>
      </c>
      <c r="D39" s="10">
        <v>2000</v>
      </c>
      <c r="E39" s="10">
        <v>0</v>
      </c>
      <c r="F39" s="10">
        <v>1000</v>
      </c>
      <c r="G39" s="10">
        <v>770.42</v>
      </c>
      <c r="H39" s="10">
        <v>1000</v>
      </c>
      <c r="I39" s="10">
        <f>151.65+1142.02</f>
        <v>1293.67</v>
      </c>
      <c r="J39" s="10">
        <v>1316.24</v>
      </c>
    </row>
    <row r="40" spans="1:10" x14ac:dyDescent="0.25">
      <c r="A40" t="s">
        <v>279</v>
      </c>
      <c r="B40" t="s">
        <v>148</v>
      </c>
      <c r="D40" s="10">
        <v>500</v>
      </c>
      <c r="E40" s="10">
        <v>500</v>
      </c>
      <c r="F40" s="10">
        <v>500</v>
      </c>
      <c r="G40" s="10">
        <v>535.91</v>
      </c>
      <c r="H40" s="10">
        <v>500</v>
      </c>
      <c r="I40" s="10">
        <v>178.35</v>
      </c>
      <c r="J40" s="10">
        <v>163.93</v>
      </c>
    </row>
    <row r="41" spans="1:10" x14ac:dyDescent="0.25">
      <c r="A41" t="s">
        <v>6</v>
      </c>
      <c r="D41" s="10"/>
      <c r="E41" s="10"/>
      <c r="F41" s="10"/>
      <c r="G41" s="10"/>
      <c r="H41" s="10"/>
      <c r="I41" s="10"/>
      <c r="J41" s="10"/>
    </row>
    <row r="42" spans="1:10" x14ac:dyDescent="0.25">
      <c r="A42" t="s">
        <v>280</v>
      </c>
      <c r="B42" t="s">
        <v>8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</row>
    <row r="43" spans="1:10" x14ac:dyDescent="0.25">
      <c r="A43" t="s">
        <v>597</v>
      </c>
      <c r="B43" t="s">
        <v>10</v>
      </c>
      <c r="D43" s="10">
        <v>5000</v>
      </c>
      <c r="E43" s="10">
        <v>167633.01</v>
      </c>
      <c r="F43" s="10">
        <v>5000</v>
      </c>
      <c r="G43" s="10">
        <v>19374.05</v>
      </c>
      <c r="H43" s="10">
        <v>5000</v>
      </c>
      <c r="I43" s="10">
        <v>2794</v>
      </c>
      <c r="J43" s="10">
        <v>290</v>
      </c>
    </row>
    <row r="44" spans="1:10" x14ac:dyDescent="0.25">
      <c r="A44" t="s">
        <v>281</v>
      </c>
      <c r="B44" t="s">
        <v>94</v>
      </c>
      <c r="D44" s="10">
        <v>1300</v>
      </c>
      <c r="E44" s="10">
        <v>1944</v>
      </c>
      <c r="F44" s="10">
        <v>1300</v>
      </c>
      <c r="G44" s="10">
        <v>2137.86</v>
      </c>
      <c r="H44" s="10">
        <v>1300</v>
      </c>
      <c r="I44" s="10">
        <v>1944</v>
      </c>
      <c r="J44" s="10">
        <v>1996.25</v>
      </c>
    </row>
    <row r="45" spans="1:10" x14ac:dyDescent="0.25">
      <c r="A45" t="s">
        <v>5</v>
      </c>
      <c r="D45" s="10"/>
      <c r="E45" s="10"/>
      <c r="F45" s="10"/>
      <c r="G45" s="10"/>
      <c r="H45" s="10"/>
      <c r="I45" s="10"/>
      <c r="J45" s="10"/>
    </row>
    <row r="46" spans="1:10" x14ac:dyDescent="0.25">
      <c r="A46" t="s">
        <v>282</v>
      </c>
      <c r="B46" t="s">
        <v>89</v>
      </c>
      <c r="D46" s="10">
        <v>1300</v>
      </c>
      <c r="E46" s="10">
        <v>1125.77</v>
      </c>
      <c r="F46" s="10">
        <v>1300</v>
      </c>
      <c r="G46" s="10">
        <v>1273.08</v>
      </c>
      <c r="H46" s="10">
        <v>1300</v>
      </c>
      <c r="I46" s="10">
        <v>1356.94</v>
      </c>
      <c r="J46" s="10">
        <v>1152.81</v>
      </c>
    </row>
    <row r="47" spans="1:10" x14ac:dyDescent="0.25">
      <c r="A47" t="s">
        <v>134</v>
      </c>
      <c r="D47" s="10"/>
      <c r="E47" s="10"/>
      <c r="F47" s="10"/>
      <c r="G47" s="10"/>
      <c r="H47" s="10"/>
      <c r="I47" s="10"/>
      <c r="J47" s="10"/>
    </row>
    <row r="48" spans="1:10" x14ac:dyDescent="0.25">
      <c r="A48" t="s">
        <v>283</v>
      </c>
      <c r="B48" t="s">
        <v>135</v>
      </c>
      <c r="D48" s="10">
        <v>0</v>
      </c>
      <c r="E48" s="10">
        <v>232.4</v>
      </c>
      <c r="F48" s="10">
        <v>0</v>
      </c>
      <c r="G48" s="10">
        <v>72</v>
      </c>
      <c r="H48" s="10">
        <v>0</v>
      </c>
      <c r="I48" s="10">
        <v>24</v>
      </c>
      <c r="J48" s="10">
        <v>0</v>
      </c>
    </row>
    <row r="49" spans="1:10" x14ac:dyDescent="0.25">
      <c r="A49" t="s">
        <v>128</v>
      </c>
      <c r="D49" s="10"/>
      <c r="E49" s="10"/>
      <c r="F49" s="10"/>
      <c r="G49" s="10"/>
      <c r="H49" s="10"/>
      <c r="I49" s="10"/>
      <c r="J49" s="10"/>
    </row>
    <row r="50" spans="1:10" x14ac:dyDescent="0.25">
      <c r="A50" t="s">
        <v>284</v>
      </c>
      <c r="B50" t="s">
        <v>86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250</v>
      </c>
    </row>
    <row r="51" spans="1:10" x14ac:dyDescent="0.25">
      <c r="A51" t="s">
        <v>285</v>
      </c>
      <c r="B51" t="s">
        <v>131</v>
      </c>
      <c r="D51" s="10">
        <v>2000</v>
      </c>
      <c r="E51" s="10">
        <v>2198</v>
      </c>
      <c r="F51" s="10">
        <v>2000</v>
      </c>
      <c r="G51" s="10">
        <v>1771</v>
      </c>
      <c r="H51" s="10">
        <v>5000</v>
      </c>
      <c r="I51" s="10">
        <v>1890</v>
      </c>
      <c r="J51" s="10">
        <v>3975</v>
      </c>
    </row>
    <row r="52" spans="1:10" x14ac:dyDescent="0.25">
      <c r="A52" t="s">
        <v>121</v>
      </c>
      <c r="D52" s="10"/>
      <c r="E52" s="10"/>
      <c r="F52" s="10"/>
      <c r="G52" s="10"/>
      <c r="H52" s="10"/>
      <c r="I52" s="10"/>
      <c r="J52" s="10"/>
    </row>
    <row r="53" spans="1:10" x14ac:dyDescent="0.25">
      <c r="A53" t="s">
        <v>286</v>
      </c>
      <c r="B53" t="s">
        <v>122</v>
      </c>
      <c r="D53" s="10">
        <v>10000</v>
      </c>
      <c r="E53" s="10">
        <v>8245.92</v>
      </c>
      <c r="F53" s="10">
        <v>10000</v>
      </c>
      <c r="G53" s="10">
        <v>10369.31</v>
      </c>
      <c r="H53" s="10">
        <v>10000</v>
      </c>
      <c r="I53" s="10">
        <v>10228.74</v>
      </c>
      <c r="J53" s="10">
        <v>10255.629999999999</v>
      </c>
    </row>
    <row r="54" spans="1:10" x14ac:dyDescent="0.25">
      <c r="A54" t="s">
        <v>287</v>
      </c>
      <c r="B54" t="s">
        <v>123</v>
      </c>
      <c r="D54" s="10">
        <v>300</v>
      </c>
      <c r="E54" s="10">
        <v>167.3</v>
      </c>
      <c r="F54" s="10">
        <v>300</v>
      </c>
      <c r="G54" s="10">
        <v>204.88</v>
      </c>
      <c r="H54" s="10">
        <v>300</v>
      </c>
      <c r="I54" s="10">
        <v>199.94</v>
      </c>
      <c r="J54" s="10">
        <v>196.92</v>
      </c>
    </row>
    <row r="55" spans="1:10" x14ac:dyDescent="0.25">
      <c r="A55" t="s">
        <v>288</v>
      </c>
      <c r="B55" t="s">
        <v>124</v>
      </c>
      <c r="D55" s="10">
        <v>0</v>
      </c>
      <c r="E55" s="10">
        <v>20.22</v>
      </c>
      <c r="F55" s="10">
        <v>0</v>
      </c>
      <c r="G55" s="10">
        <v>0</v>
      </c>
      <c r="H55" s="10">
        <v>0</v>
      </c>
      <c r="I55" s="10">
        <v>0</v>
      </c>
      <c r="J55" s="10">
        <v>-89.35</v>
      </c>
    </row>
    <row r="56" spans="1:10" x14ac:dyDescent="0.25">
      <c r="A56" t="s">
        <v>289</v>
      </c>
      <c r="B56" t="s">
        <v>125</v>
      </c>
      <c r="D56" s="10">
        <v>1200</v>
      </c>
      <c r="E56" s="10">
        <v>982.85</v>
      </c>
      <c r="F56" s="10">
        <v>1200</v>
      </c>
      <c r="G56" s="10">
        <v>1081.7</v>
      </c>
      <c r="H56" s="10">
        <v>1200</v>
      </c>
      <c r="I56" s="10">
        <v>1161.55</v>
      </c>
      <c r="J56" s="10">
        <v>1072.2</v>
      </c>
    </row>
    <row r="57" spans="1:10" x14ac:dyDescent="0.25">
      <c r="A57" t="s">
        <v>290</v>
      </c>
      <c r="B57" t="s">
        <v>126</v>
      </c>
      <c r="D57" s="10">
        <v>300</v>
      </c>
      <c r="E57" s="10">
        <v>183.3</v>
      </c>
      <c r="F57" s="10">
        <v>300</v>
      </c>
      <c r="G57" s="10">
        <v>243.1</v>
      </c>
      <c r="H57" s="10">
        <v>300</v>
      </c>
      <c r="I57" s="10">
        <v>243.39</v>
      </c>
      <c r="J57" s="10">
        <v>239.76</v>
      </c>
    </row>
    <row r="58" spans="1:10" x14ac:dyDescent="0.25">
      <c r="A58" t="s">
        <v>495</v>
      </c>
      <c r="D58" s="10"/>
      <c r="E58" s="10"/>
      <c r="F58" s="10"/>
      <c r="G58" s="10"/>
      <c r="H58" s="10"/>
      <c r="I58" s="10"/>
      <c r="J58" s="10"/>
    </row>
    <row r="59" spans="1:10" x14ac:dyDescent="0.25">
      <c r="A59" t="s">
        <v>1031</v>
      </c>
      <c r="B59" t="s">
        <v>1032</v>
      </c>
      <c r="D59" s="10">
        <v>0</v>
      </c>
      <c r="E59" s="10">
        <v>20609</v>
      </c>
      <c r="F59" s="10">
        <v>10000</v>
      </c>
      <c r="G59" s="10">
        <v>106125.1</v>
      </c>
      <c r="H59" s="10">
        <v>0</v>
      </c>
      <c r="I59" s="10">
        <v>0</v>
      </c>
      <c r="J59" s="10">
        <v>3000</v>
      </c>
    </row>
    <row r="60" spans="1:10" x14ac:dyDescent="0.25">
      <c r="A60" t="s">
        <v>116</v>
      </c>
      <c r="D60" s="10"/>
      <c r="E60" s="10"/>
      <c r="F60" s="10"/>
      <c r="G60" s="10"/>
      <c r="H60" s="10"/>
      <c r="I60" s="10"/>
      <c r="J60" s="10"/>
    </row>
    <row r="61" spans="1:10" x14ac:dyDescent="0.25">
      <c r="A61" t="s">
        <v>657</v>
      </c>
      <c r="B61" t="s">
        <v>500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</row>
    <row r="62" spans="1:10" x14ac:dyDescent="0.25">
      <c r="A62" t="s">
        <v>291</v>
      </c>
      <c r="B62" t="s">
        <v>886</v>
      </c>
      <c r="D62" s="10">
        <v>105000</v>
      </c>
      <c r="E62" s="10">
        <v>781298.69</v>
      </c>
      <c r="F62" s="10">
        <v>325000</v>
      </c>
      <c r="G62" s="10">
        <v>91590.45</v>
      </c>
      <c r="H62" s="10">
        <v>105000</v>
      </c>
      <c r="I62" s="10">
        <v>55933.81</v>
      </c>
      <c r="J62" s="10">
        <v>109765.77</v>
      </c>
    </row>
    <row r="63" spans="1:10" x14ac:dyDescent="0.25">
      <c r="A63" t="s">
        <v>292</v>
      </c>
      <c r="B63" t="s">
        <v>120</v>
      </c>
      <c r="D63" s="10">
        <v>10000</v>
      </c>
      <c r="E63" s="10">
        <v>8616</v>
      </c>
      <c r="F63" s="10">
        <v>10000</v>
      </c>
      <c r="G63" s="10">
        <v>4020.5</v>
      </c>
      <c r="H63" s="10">
        <v>0</v>
      </c>
      <c r="I63" s="10">
        <v>1500</v>
      </c>
      <c r="J63" s="10">
        <v>1500</v>
      </c>
    </row>
    <row r="64" spans="1:10" x14ac:dyDescent="0.25">
      <c r="A64" t="s">
        <v>107</v>
      </c>
      <c r="D64" s="10"/>
      <c r="E64" s="10"/>
      <c r="F64" s="10"/>
      <c r="G64" s="10"/>
      <c r="H64" s="10"/>
      <c r="I64" s="10"/>
      <c r="J64" s="10"/>
    </row>
    <row r="65" spans="1:10" x14ac:dyDescent="0.25">
      <c r="A65" t="s">
        <v>293</v>
      </c>
      <c r="B65" t="s">
        <v>93</v>
      </c>
      <c r="D65" s="10">
        <v>0</v>
      </c>
      <c r="E65" s="10">
        <v>0</v>
      </c>
      <c r="F65" s="10">
        <v>0</v>
      </c>
      <c r="G65" s="10">
        <v>96</v>
      </c>
      <c r="H65" s="10">
        <v>0</v>
      </c>
      <c r="I65" s="10">
        <v>0</v>
      </c>
      <c r="J65" s="10">
        <v>64</v>
      </c>
    </row>
    <row r="66" spans="1:10" x14ac:dyDescent="0.25">
      <c r="D66" s="10"/>
      <c r="E66" s="10"/>
      <c r="F66" s="10"/>
      <c r="G66" s="10"/>
      <c r="H66" s="10"/>
      <c r="I66" s="10"/>
      <c r="J66" s="10"/>
    </row>
    <row r="67" spans="1:10" x14ac:dyDescent="0.25">
      <c r="A67" s="33"/>
      <c r="B67" s="25" t="s">
        <v>58</v>
      </c>
      <c r="D67" s="10">
        <f>SUM(D15:D65)</f>
        <v>262271.23200000002</v>
      </c>
      <c r="E67" s="10">
        <f>SUM(E15:E65)</f>
        <v>1105874.5099999998</v>
      </c>
      <c r="F67" s="10">
        <f>SUM(F15:F65)</f>
        <v>480205.99</v>
      </c>
      <c r="G67" s="10">
        <f>SUM(G15:G65)</f>
        <v>423535.25000000006</v>
      </c>
      <c r="H67" s="10">
        <f t="shared" ref="H67:J67" si="0">SUM(H15:H66)</f>
        <v>236584.09519999998</v>
      </c>
      <c r="I67" s="10">
        <f t="shared" si="0"/>
        <v>231743.65</v>
      </c>
      <c r="J67" s="10">
        <f t="shared" si="0"/>
        <v>236140.57999999996</v>
      </c>
    </row>
    <row r="68" spans="1:10" x14ac:dyDescent="0.25">
      <c r="A68" s="40"/>
      <c r="D68" s="10"/>
      <c r="E68" s="10"/>
      <c r="J68" s="10"/>
    </row>
    <row r="69" spans="1:10" x14ac:dyDescent="0.25">
      <c r="A69" s="33"/>
      <c r="B69" s="51" t="s">
        <v>789</v>
      </c>
      <c r="D69" s="10"/>
      <c r="E69" s="10"/>
      <c r="G69" s="10">
        <v>70262.559999999998</v>
      </c>
      <c r="I69" s="10">
        <v>70137.78</v>
      </c>
      <c r="J69" s="10">
        <v>41092.81</v>
      </c>
    </row>
    <row r="70" spans="1:10" x14ac:dyDescent="0.25">
      <c r="A70" s="33"/>
      <c r="B70" s="51"/>
    </row>
    <row r="71" spans="1:10" x14ac:dyDescent="0.25">
      <c r="A71" s="27" t="s">
        <v>785</v>
      </c>
    </row>
    <row r="72" spans="1:10" x14ac:dyDescent="0.25">
      <c r="A72" s="27"/>
    </row>
    <row r="73" spans="1:10" x14ac:dyDescent="0.25">
      <c r="A73" s="129" t="s">
        <v>1073</v>
      </c>
    </row>
    <row r="74" spans="1:10" x14ac:dyDescent="0.25">
      <c r="A74" s="27" t="s">
        <v>1062</v>
      </c>
    </row>
    <row r="75" spans="1:10" x14ac:dyDescent="0.25">
      <c r="A75" s="27" t="s">
        <v>1084</v>
      </c>
    </row>
    <row r="76" spans="1:10" x14ac:dyDescent="0.25">
      <c r="A76" s="27" t="s">
        <v>1129</v>
      </c>
    </row>
    <row r="77" spans="1:10" x14ac:dyDescent="0.25">
      <c r="A77" s="27"/>
    </row>
    <row r="78" spans="1:10" x14ac:dyDescent="0.25">
      <c r="A78" s="27"/>
    </row>
    <row r="79" spans="1:10" x14ac:dyDescent="0.25">
      <c r="A79" s="129" t="s">
        <v>1134</v>
      </c>
    </row>
    <row r="80" spans="1:10" x14ac:dyDescent="0.25">
      <c r="A80" s="62" t="s">
        <v>1130</v>
      </c>
    </row>
    <row r="81" spans="1:2" x14ac:dyDescent="0.25">
      <c r="A81" s="62" t="s">
        <v>1131</v>
      </c>
      <c r="B81" s="27" t="s">
        <v>1135</v>
      </c>
    </row>
    <row r="82" spans="1:2" x14ac:dyDescent="0.25">
      <c r="A82" s="62" t="s">
        <v>1174</v>
      </c>
    </row>
    <row r="83" spans="1:2" x14ac:dyDescent="0.25">
      <c r="A83" s="27" t="s">
        <v>1083</v>
      </c>
    </row>
    <row r="84" spans="1:2" x14ac:dyDescent="0.25">
      <c r="A84" s="27"/>
    </row>
    <row r="85" spans="1:2" x14ac:dyDescent="0.25">
      <c r="A85" s="129" t="s">
        <v>1151</v>
      </c>
    </row>
    <row r="86" spans="1:2" x14ac:dyDescent="0.25">
      <c r="A86" s="27" t="s">
        <v>1245</v>
      </c>
    </row>
    <row r="87" spans="1:2" x14ac:dyDescent="0.25">
      <c r="A87" s="27" t="s">
        <v>1246</v>
      </c>
    </row>
    <row r="88" spans="1:2" x14ac:dyDescent="0.25">
      <c r="A88" s="27" t="s">
        <v>1247</v>
      </c>
    </row>
    <row r="89" spans="1:2" x14ac:dyDescent="0.25">
      <c r="A89" s="114" t="s">
        <v>1271</v>
      </c>
    </row>
    <row r="90" spans="1:2" x14ac:dyDescent="0.25">
      <c r="A90" s="114" t="s">
        <v>1270</v>
      </c>
    </row>
    <row r="91" spans="1:2" x14ac:dyDescent="0.25">
      <c r="A91" s="114" t="s">
        <v>1083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5" sqref="B5"/>
    </sheetView>
  </sheetViews>
  <sheetFormatPr defaultRowHeight="13.2" x14ac:dyDescent="0.25"/>
  <cols>
    <col min="1" max="1" width="15.33203125" bestFit="1" customWidth="1"/>
    <col min="2" max="2" width="28.5546875" bestFit="1" customWidth="1"/>
    <col min="3" max="3" width="3.6640625" customWidth="1"/>
    <col min="4" max="7" width="11.6640625" customWidth="1"/>
    <col min="8" max="8" width="11.88671875" customWidth="1"/>
    <col min="9" max="9" width="11.6640625" customWidth="1"/>
  </cols>
  <sheetData>
    <row r="1" spans="1:9" ht="15.6" x14ac:dyDescent="0.3">
      <c r="B1" s="14" t="s">
        <v>1017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17">
        <v>2017</v>
      </c>
    </row>
    <row r="2" spans="1:9" x14ac:dyDescent="0.25"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 t="s">
        <v>807</v>
      </c>
    </row>
    <row r="4" spans="1:9" x14ac:dyDescent="0.25">
      <c r="A4" s="27" t="s">
        <v>78</v>
      </c>
    </row>
    <row r="5" spans="1:9" x14ac:dyDescent="0.25">
      <c r="A5" s="27" t="s">
        <v>1018</v>
      </c>
      <c r="B5" s="27" t="s">
        <v>1019</v>
      </c>
      <c r="D5" s="10">
        <v>0</v>
      </c>
      <c r="E5" s="10">
        <v>31152.240000000002</v>
      </c>
      <c r="F5" s="10">
        <v>0</v>
      </c>
      <c r="G5" s="10">
        <v>48397.04</v>
      </c>
      <c r="H5" s="10">
        <v>0</v>
      </c>
      <c r="I5" s="10">
        <v>48252.45</v>
      </c>
    </row>
    <row r="6" spans="1:9" x14ac:dyDescent="0.25">
      <c r="A6" s="27"/>
      <c r="B6" s="27"/>
      <c r="D6" s="10"/>
      <c r="E6" s="10"/>
      <c r="F6" s="10"/>
      <c r="G6" s="10"/>
      <c r="H6" s="10"/>
      <c r="I6" s="10"/>
    </row>
    <row r="7" spans="1:9" x14ac:dyDescent="0.25">
      <c r="A7" s="27"/>
      <c r="B7" s="27" t="s">
        <v>58</v>
      </c>
      <c r="D7" s="10">
        <v>0</v>
      </c>
      <c r="E7" s="10">
        <f>SUM(E5:E6)</f>
        <v>31152.240000000002</v>
      </c>
      <c r="F7" s="10">
        <v>0</v>
      </c>
      <c r="G7" s="10">
        <f>SUM(G5:G6)</f>
        <v>48397.04</v>
      </c>
      <c r="H7" s="10">
        <v>0</v>
      </c>
      <c r="I7" s="10">
        <f>SUM(I5:I6)</f>
        <v>48252.45</v>
      </c>
    </row>
    <row r="8" spans="1:9" x14ac:dyDescent="0.25">
      <c r="D8" s="10"/>
      <c r="E8" s="10"/>
      <c r="F8" s="10"/>
      <c r="G8" s="10"/>
      <c r="H8" s="10"/>
      <c r="I8" s="10"/>
    </row>
    <row r="9" spans="1:9" x14ac:dyDescent="0.25">
      <c r="A9" t="s">
        <v>79</v>
      </c>
      <c r="D9" s="10"/>
      <c r="E9" s="10"/>
      <c r="F9" s="10"/>
      <c r="G9" s="10"/>
      <c r="H9" s="10"/>
      <c r="I9" s="10"/>
    </row>
    <row r="10" spans="1:9" x14ac:dyDescent="0.25">
      <c r="A10" t="s">
        <v>1020</v>
      </c>
      <c r="B10" t="s">
        <v>1021</v>
      </c>
      <c r="D10" s="10">
        <v>0</v>
      </c>
      <c r="E10" s="10">
        <v>27081.83</v>
      </c>
      <c r="F10" s="10">
        <v>0</v>
      </c>
      <c r="G10" s="10">
        <v>41863.08</v>
      </c>
      <c r="H10" s="10">
        <v>0</v>
      </c>
      <c r="I10" s="10">
        <v>48441.69</v>
      </c>
    </row>
    <row r="11" spans="1:9" x14ac:dyDescent="0.25">
      <c r="D11" s="10"/>
      <c r="E11" s="10"/>
      <c r="F11" s="10"/>
      <c r="G11" s="10"/>
      <c r="H11" s="10"/>
      <c r="I11" s="10"/>
    </row>
    <row r="12" spans="1:9" x14ac:dyDescent="0.25">
      <c r="B12" s="25" t="s">
        <v>58</v>
      </c>
      <c r="D12" s="10">
        <v>0</v>
      </c>
      <c r="E12" s="10">
        <f>SUM(E10:E11)</f>
        <v>27081.83</v>
      </c>
      <c r="F12" s="10">
        <v>0</v>
      </c>
      <c r="G12" s="10">
        <f>SUM(G10:G11)</f>
        <v>41863.08</v>
      </c>
      <c r="H12" s="10">
        <v>0</v>
      </c>
      <c r="I12" s="10">
        <f>SUM(I10:I11)</f>
        <v>48441.69</v>
      </c>
    </row>
    <row r="18" spans="1:1" x14ac:dyDescent="0.25">
      <c r="A18" t="s">
        <v>1085</v>
      </c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9"/>
  <sheetViews>
    <sheetView workbookViewId="0">
      <selection activeCell="D44" sqref="D44"/>
    </sheetView>
  </sheetViews>
  <sheetFormatPr defaultRowHeight="13.2" x14ac:dyDescent="0.25"/>
  <cols>
    <col min="1" max="1" width="18.44140625" customWidth="1"/>
    <col min="2" max="2" width="27.44140625" customWidth="1"/>
    <col min="3" max="3" width="5.6640625" customWidth="1"/>
    <col min="4" max="10" width="11.6640625" customWidth="1"/>
  </cols>
  <sheetData>
    <row r="1" spans="1:10" ht="15.6" x14ac:dyDescent="0.3">
      <c r="B1" s="14" t="s">
        <v>487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17">
        <v>2017</v>
      </c>
      <c r="J1" s="17">
        <v>2016</v>
      </c>
    </row>
    <row r="2" spans="1:10" ht="13.5" customHeight="1" x14ac:dyDescent="0.25"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 t="s">
        <v>807</v>
      </c>
      <c r="J2" s="42" t="s">
        <v>807</v>
      </c>
    </row>
    <row r="3" spans="1:10" ht="13.5" customHeight="1" x14ac:dyDescent="0.25">
      <c r="A3" t="s">
        <v>78</v>
      </c>
      <c r="J3" s="42"/>
    </row>
    <row r="4" spans="1:10" ht="13.5" customHeight="1" x14ac:dyDescent="0.25">
      <c r="A4" t="s">
        <v>1025</v>
      </c>
      <c r="B4" t="s">
        <v>968</v>
      </c>
      <c r="D4" s="159">
        <v>1500</v>
      </c>
      <c r="E4" s="10">
        <v>2293.08</v>
      </c>
      <c r="F4" s="10">
        <v>6200</v>
      </c>
      <c r="G4" s="10">
        <f>88.88+626.82</f>
        <v>715.7</v>
      </c>
      <c r="H4" s="10">
        <v>1200</v>
      </c>
      <c r="I4" s="10">
        <f>116.96+1792.75</f>
        <v>1909.71</v>
      </c>
      <c r="J4" s="113">
        <f>46.78+737.32</f>
        <v>784.1</v>
      </c>
    </row>
    <row r="5" spans="1:10" ht="13.5" customHeight="1" x14ac:dyDescent="0.25">
      <c r="A5" t="s">
        <v>1024</v>
      </c>
      <c r="B5" t="s">
        <v>969</v>
      </c>
      <c r="D5" s="159">
        <v>10000</v>
      </c>
      <c r="E5" s="10">
        <v>10828.4</v>
      </c>
      <c r="F5" s="10">
        <v>5000</v>
      </c>
      <c r="G5" s="10">
        <v>13939.69</v>
      </c>
      <c r="H5" s="10">
        <v>5000</v>
      </c>
      <c r="I5" s="10">
        <v>49730.8</v>
      </c>
      <c r="J5" s="113">
        <v>22112.6</v>
      </c>
    </row>
    <row r="6" spans="1:10" ht="13.5" customHeight="1" x14ac:dyDescent="0.25">
      <c r="A6" s="27" t="s">
        <v>1216</v>
      </c>
      <c r="B6" s="27" t="s">
        <v>1217</v>
      </c>
      <c r="D6" s="10">
        <v>7000</v>
      </c>
      <c r="E6" s="10">
        <v>6998.54</v>
      </c>
      <c r="F6" s="10">
        <v>0</v>
      </c>
      <c r="G6" s="10">
        <v>0</v>
      </c>
      <c r="H6" s="10">
        <v>0</v>
      </c>
      <c r="I6" s="10">
        <v>0</v>
      </c>
      <c r="J6" s="113">
        <v>0</v>
      </c>
    </row>
    <row r="7" spans="1:10" ht="13.5" customHeight="1" x14ac:dyDescent="0.25">
      <c r="D7" s="10"/>
      <c r="E7" s="10"/>
      <c r="F7" s="10"/>
      <c r="G7" s="10"/>
      <c r="H7" s="10"/>
      <c r="I7" s="10"/>
      <c r="J7" s="113"/>
    </row>
    <row r="8" spans="1:10" ht="13.5" customHeight="1" x14ac:dyDescent="0.25">
      <c r="B8" s="30" t="s">
        <v>58</v>
      </c>
      <c r="D8" s="10">
        <f>SUM(D4:D6)</f>
        <v>18500</v>
      </c>
      <c r="E8" s="10">
        <f>SUM(E4:E7)</f>
        <v>20120.02</v>
      </c>
      <c r="F8" s="10">
        <f>SUM(F4:F5)</f>
        <v>11200</v>
      </c>
      <c r="G8" s="10">
        <f>SUM(G4:G7)</f>
        <v>14655.390000000001</v>
      </c>
      <c r="H8" s="10">
        <f t="shared" ref="H8" si="0">SUM(H4:H7)</f>
        <v>6200</v>
      </c>
      <c r="I8" s="10">
        <f>SUM(I4:I7)</f>
        <v>51640.51</v>
      </c>
      <c r="J8" s="113">
        <f t="shared" ref="J8" si="1">SUM(J4:J7)</f>
        <v>22896.699999999997</v>
      </c>
    </row>
    <row r="9" spans="1:10" ht="13.5" customHeight="1" x14ac:dyDescent="0.25">
      <c r="D9" s="10"/>
      <c r="E9" s="10"/>
      <c r="F9" s="10"/>
      <c r="G9" s="10"/>
      <c r="J9" s="113"/>
    </row>
    <row r="10" spans="1:10" ht="13.5" customHeight="1" x14ac:dyDescent="0.25">
      <c r="D10" s="10"/>
      <c r="E10" s="10"/>
      <c r="F10" s="10"/>
      <c r="G10" s="10"/>
      <c r="J10" s="113"/>
    </row>
    <row r="11" spans="1:10" ht="13.5" customHeight="1" x14ac:dyDescent="0.25">
      <c r="A11" t="s">
        <v>79</v>
      </c>
      <c r="D11" s="10"/>
      <c r="E11" s="10"/>
      <c r="F11" s="10"/>
      <c r="G11" s="10"/>
      <c r="J11" s="113"/>
    </row>
    <row r="12" spans="1:10" x14ac:dyDescent="0.25">
      <c r="A12" t="s">
        <v>43</v>
      </c>
      <c r="D12" s="10"/>
      <c r="E12" s="10"/>
      <c r="F12" s="10"/>
      <c r="G12" s="10"/>
      <c r="J12" s="10"/>
    </row>
    <row r="13" spans="1:10" x14ac:dyDescent="0.25">
      <c r="A13" t="s">
        <v>294</v>
      </c>
      <c r="B13" t="s">
        <v>182</v>
      </c>
      <c r="D13" s="10">
        <v>700</v>
      </c>
      <c r="E13" s="10">
        <v>676</v>
      </c>
      <c r="F13" s="10">
        <v>300</v>
      </c>
      <c r="G13" s="10">
        <v>655.95</v>
      </c>
      <c r="H13" s="10">
        <v>300</v>
      </c>
      <c r="I13" s="10">
        <v>397.11</v>
      </c>
      <c r="J13" s="10">
        <v>346</v>
      </c>
    </row>
    <row r="14" spans="1:10" x14ac:dyDescent="0.25">
      <c r="A14" t="s">
        <v>149</v>
      </c>
      <c r="D14" s="10"/>
      <c r="E14" s="10"/>
      <c r="F14" s="10"/>
      <c r="G14" s="10"/>
      <c r="H14" s="10"/>
      <c r="I14" s="10"/>
      <c r="J14" s="10"/>
    </row>
    <row r="15" spans="1:10" x14ac:dyDescent="0.25">
      <c r="A15" t="s">
        <v>524</v>
      </c>
      <c r="B15" t="s">
        <v>151</v>
      </c>
      <c r="D15" s="10">
        <v>500</v>
      </c>
      <c r="E15" s="10">
        <v>401.03</v>
      </c>
      <c r="F15" s="10">
        <v>500</v>
      </c>
      <c r="G15" s="10">
        <v>332.91</v>
      </c>
      <c r="H15" s="10">
        <v>500</v>
      </c>
      <c r="I15" s="10">
        <v>205.48</v>
      </c>
      <c r="J15" s="10">
        <v>0</v>
      </c>
    </row>
    <row r="16" spans="1:10" x14ac:dyDescent="0.25">
      <c r="A16" t="s">
        <v>295</v>
      </c>
      <c r="B16" t="s">
        <v>152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1" x14ac:dyDescent="0.25">
      <c r="A17" t="s">
        <v>296</v>
      </c>
      <c r="B17" t="s">
        <v>174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1" x14ac:dyDescent="0.25">
      <c r="A18" t="s">
        <v>297</v>
      </c>
      <c r="B18" t="s">
        <v>31</v>
      </c>
      <c r="D18" s="159">
        <v>100</v>
      </c>
      <c r="E18" s="10">
        <v>87.98</v>
      </c>
      <c r="F18" s="10">
        <v>200</v>
      </c>
      <c r="G18" s="10">
        <v>193.34</v>
      </c>
      <c r="H18" s="10">
        <v>100</v>
      </c>
      <c r="I18" s="10">
        <v>99.82</v>
      </c>
      <c r="J18" s="10">
        <v>902.63</v>
      </c>
    </row>
    <row r="19" spans="1:11" x14ac:dyDescent="0.25">
      <c r="A19" t="s">
        <v>298</v>
      </c>
      <c r="B19" t="s">
        <v>32</v>
      </c>
      <c r="D19" s="10">
        <v>1000</v>
      </c>
      <c r="E19" s="10">
        <v>1375.75</v>
      </c>
      <c r="F19" s="10">
        <v>1000</v>
      </c>
      <c r="G19" s="10">
        <v>2405.09</v>
      </c>
      <c r="H19" s="10">
        <v>1000</v>
      </c>
      <c r="I19" s="10">
        <v>1074.68</v>
      </c>
      <c r="J19" s="10">
        <v>632.5</v>
      </c>
    </row>
    <row r="20" spans="1:11" x14ac:dyDescent="0.25">
      <c r="A20" t="s">
        <v>23</v>
      </c>
      <c r="D20" s="10"/>
      <c r="E20" s="10"/>
      <c r="F20" s="10"/>
      <c r="G20" s="10"/>
      <c r="H20" s="10"/>
      <c r="I20" s="10"/>
      <c r="J20" s="10"/>
    </row>
    <row r="21" spans="1:11" x14ac:dyDescent="0.25">
      <c r="A21" t="s">
        <v>299</v>
      </c>
      <c r="B21" t="s">
        <v>141</v>
      </c>
      <c r="D21" s="10">
        <v>2000</v>
      </c>
      <c r="E21" s="10">
        <v>2817.44</v>
      </c>
      <c r="F21" s="10">
        <v>2000</v>
      </c>
      <c r="G21" s="10">
        <v>2938.71</v>
      </c>
      <c r="H21" s="10">
        <v>1000</v>
      </c>
      <c r="I21" s="10">
        <v>9565.33</v>
      </c>
      <c r="J21" s="10">
        <v>2628.53</v>
      </c>
    </row>
    <row r="22" spans="1:11" x14ac:dyDescent="0.25">
      <c r="A22" t="s">
        <v>525</v>
      </c>
      <c r="B22" t="s">
        <v>143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224.69</v>
      </c>
      <c r="J22" s="10">
        <v>0</v>
      </c>
    </row>
    <row r="23" spans="1:11" x14ac:dyDescent="0.25">
      <c r="A23" t="s">
        <v>300</v>
      </c>
      <c r="B23" t="s">
        <v>144</v>
      </c>
      <c r="D23" s="10">
        <v>1500</v>
      </c>
      <c r="E23" s="10">
        <v>0</v>
      </c>
      <c r="F23" s="10">
        <v>1500</v>
      </c>
      <c r="G23" s="10">
        <v>0</v>
      </c>
      <c r="H23" s="10">
        <v>1500</v>
      </c>
      <c r="I23" s="10">
        <v>1350</v>
      </c>
      <c r="J23" s="10">
        <v>0</v>
      </c>
    </row>
    <row r="24" spans="1:11" x14ac:dyDescent="0.25">
      <c r="A24" t="s">
        <v>301</v>
      </c>
      <c r="B24" t="s">
        <v>145</v>
      </c>
      <c r="D24" s="10">
        <v>5800</v>
      </c>
      <c r="E24" s="10">
        <v>3884.62</v>
      </c>
      <c r="F24" s="10">
        <v>3000</v>
      </c>
      <c r="G24" s="10">
        <v>8378.8799999999992</v>
      </c>
      <c r="H24" s="10">
        <v>3000</v>
      </c>
      <c r="I24" s="10">
        <v>29359.45</v>
      </c>
      <c r="J24" s="10">
        <v>3576.01</v>
      </c>
      <c r="K24" s="27"/>
    </row>
    <row r="25" spans="1:11" x14ac:dyDescent="0.25">
      <c r="A25" t="s">
        <v>302</v>
      </c>
      <c r="B25" t="s">
        <v>146</v>
      </c>
      <c r="D25" s="10">
        <v>0</v>
      </c>
      <c r="E25" s="10">
        <v>206.5</v>
      </c>
      <c r="F25" s="10">
        <v>0</v>
      </c>
      <c r="G25" s="10">
        <v>192.9</v>
      </c>
      <c r="H25" s="10">
        <v>0</v>
      </c>
      <c r="I25" s="10">
        <v>34</v>
      </c>
      <c r="J25" s="10">
        <v>0</v>
      </c>
    </row>
    <row r="26" spans="1:11" x14ac:dyDescent="0.25">
      <c r="A26" t="s">
        <v>303</v>
      </c>
      <c r="B26" t="s">
        <v>148</v>
      </c>
      <c r="D26" s="10">
        <v>0</v>
      </c>
      <c r="E26" s="10">
        <v>0</v>
      </c>
      <c r="F26" s="10">
        <v>500</v>
      </c>
      <c r="G26" s="10">
        <v>0</v>
      </c>
      <c r="H26" s="10">
        <v>0</v>
      </c>
      <c r="I26" s="10">
        <v>0</v>
      </c>
      <c r="J26" s="10">
        <v>152.44</v>
      </c>
    </row>
    <row r="27" spans="1:11" x14ac:dyDescent="0.25">
      <c r="A27" t="s">
        <v>6</v>
      </c>
      <c r="D27" s="10"/>
      <c r="E27" s="10"/>
      <c r="F27" s="10"/>
      <c r="G27" s="10"/>
      <c r="H27" s="10"/>
      <c r="I27" s="10"/>
      <c r="J27" s="10"/>
    </row>
    <row r="28" spans="1:11" x14ac:dyDescent="0.25">
      <c r="A28" s="27" t="s">
        <v>832</v>
      </c>
      <c r="B28" s="27" t="s">
        <v>10</v>
      </c>
      <c r="D28" s="10">
        <v>1000</v>
      </c>
      <c r="E28" s="10">
        <v>0</v>
      </c>
      <c r="F28" s="10">
        <v>1000</v>
      </c>
      <c r="G28" s="10">
        <v>10708.97</v>
      </c>
      <c r="H28" s="10">
        <v>0</v>
      </c>
      <c r="I28" s="10">
        <v>3620.49</v>
      </c>
      <c r="J28" s="10">
        <v>3144</v>
      </c>
    </row>
    <row r="29" spans="1:11" x14ac:dyDescent="0.25">
      <c r="A29" t="s">
        <v>304</v>
      </c>
      <c r="B29" t="s">
        <v>812</v>
      </c>
      <c r="D29" s="10">
        <v>8000</v>
      </c>
      <c r="E29" s="10">
        <v>4426</v>
      </c>
      <c r="F29" s="10">
        <v>8000</v>
      </c>
      <c r="G29" s="10">
        <v>6532.51</v>
      </c>
      <c r="H29" s="10">
        <v>8000</v>
      </c>
      <c r="I29" s="10">
        <v>7842.35</v>
      </c>
      <c r="J29" s="10">
        <v>6393.71</v>
      </c>
    </row>
    <row r="30" spans="1:11" x14ac:dyDescent="0.25">
      <c r="A30" t="s">
        <v>128</v>
      </c>
      <c r="D30" s="10"/>
      <c r="E30" s="10"/>
      <c r="F30" s="10"/>
      <c r="G30" s="10"/>
      <c r="H30" s="10"/>
      <c r="I30" s="10"/>
      <c r="J30" s="10"/>
    </row>
    <row r="31" spans="1:11" x14ac:dyDescent="0.25">
      <c r="A31" t="s">
        <v>305</v>
      </c>
      <c r="B31" t="s">
        <v>86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1" x14ac:dyDescent="0.25">
      <c r="A32" t="s">
        <v>306</v>
      </c>
      <c r="B32" t="s">
        <v>130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0" x14ac:dyDescent="0.25">
      <c r="A33" t="s">
        <v>307</v>
      </c>
      <c r="B33" t="s">
        <v>131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0" x14ac:dyDescent="0.25">
      <c r="A34" t="s">
        <v>121</v>
      </c>
      <c r="D34" s="10"/>
      <c r="E34" s="10"/>
      <c r="F34" s="10"/>
      <c r="G34" s="10"/>
      <c r="H34" s="10"/>
      <c r="I34" s="10"/>
      <c r="J34" s="10"/>
    </row>
    <row r="35" spans="1:10" x14ac:dyDescent="0.25">
      <c r="A35" t="s">
        <v>308</v>
      </c>
      <c r="B35" t="s">
        <v>122</v>
      </c>
      <c r="D35" s="10">
        <v>4500</v>
      </c>
      <c r="E35" s="10">
        <v>2695.34</v>
      </c>
      <c r="F35" s="10">
        <v>4500</v>
      </c>
      <c r="G35" s="10">
        <v>5755.98</v>
      </c>
      <c r="H35" s="10">
        <v>4500</v>
      </c>
      <c r="I35" s="10">
        <v>5646.13</v>
      </c>
      <c r="J35" s="10">
        <v>4634.3</v>
      </c>
    </row>
    <row r="36" spans="1:10" x14ac:dyDescent="0.25">
      <c r="A36" t="s">
        <v>526</v>
      </c>
      <c r="B36" t="s">
        <v>123</v>
      </c>
      <c r="D36" s="10">
        <v>400</v>
      </c>
      <c r="E36" s="10">
        <v>165.5</v>
      </c>
      <c r="F36" s="10">
        <v>400</v>
      </c>
      <c r="G36" s="10">
        <v>699.01</v>
      </c>
      <c r="H36" s="10">
        <v>400</v>
      </c>
      <c r="I36" s="10">
        <v>442.74</v>
      </c>
      <c r="J36" s="10">
        <v>295.10000000000002</v>
      </c>
    </row>
    <row r="37" spans="1:10" x14ac:dyDescent="0.25">
      <c r="A37" t="s">
        <v>309</v>
      </c>
      <c r="B37" t="s">
        <v>124</v>
      </c>
      <c r="D37" s="10">
        <v>900</v>
      </c>
      <c r="E37" s="10">
        <v>658.93</v>
      </c>
      <c r="F37" s="10">
        <v>800</v>
      </c>
      <c r="G37" s="10">
        <v>989.67</v>
      </c>
      <c r="H37" s="10">
        <v>800</v>
      </c>
      <c r="I37" s="10">
        <v>673.54</v>
      </c>
      <c r="J37" s="10">
        <v>764.26</v>
      </c>
    </row>
    <row r="38" spans="1:10" x14ac:dyDescent="0.25">
      <c r="A38" t="s">
        <v>310</v>
      </c>
      <c r="B38" t="s">
        <v>125</v>
      </c>
      <c r="D38" s="10">
        <v>2000</v>
      </c>
      <c r="E38" s="10">
        <v>1130.48</v>
      </c>
      <c r="F38" s="10">
        <v>2000</v>
      </c>
      <c r="G38" s="10">
        <v>2616.17</v>
      </c>
      <c r="H38" s="10">
        <v>2000</v>
      </c>
      <c r="I38" s="10">
        <v>3216.95</v>
      </c>
      <c r="J38" s="10">
        <v>2275.06</v>
      </c>
    </row>
    <row r="39" spans="1:10" x14ac:dyDescent="0.25">
      <c r="A39" t="s">
        <v>527</v>
      </c>
      <c r="B39" t="s">
        <v>126</v>
      </c>
      <c r="D39" s="10">
        <v>400</v>
      </c>
      <c r="E39" s="10">
        <v>156.52000000000001</v>
      </c>
      <c r="F39" s="10">
        <v>400</v>
      </c>
      <c r="G39" s="10">
        <v>512.91999999999996</v>
      </c>
      <c r="H39" s="10">
        <v>400</v>
      </c>
      <c r="I39" s="10">
        <v>331.6</v>
      </c>
      <c r="J39" s="10">
        <v>338.23</v>
      </c>
    </row>
    <row r="40" spans="1:10" x14ac:dyDescent="0.25">
      <c r="A40" s="27" t="s">
        <v>855</v>
      </c>
      <c r="D40" s="10"/>
      <c r="E40" s="10"/>
      <c r="F40" s="10"/>
      <c r="G40" s="10"/>
      <c r="H40" s="10"/>
      <c r="I40" s="10"/>
      <c r="J40" s="10"/>
    </row>
    <row r="41" spans="1:10" x14ac:dyDescent="0.25">
      <c r="A41" s="27" t="s">
        <v>1006</v>
      </c>
      <c r="B41" s="27" t="s">
        <v>1007</v>
      </c>
      <c r="D41" s="10">
        <v>0</v>
      </c>
      <c r="E41" s="10">
        <v>49.8</v>
      </c>
      <c r="F41" s="10">
        <v>0</v>
      </c>
      <c r="G41" s="10">
        <v>12.83</v>
      </c>
      <c r="H41" s="10">
        <v>0</v>
      </c>
      <c r="I41" s="10">
        <v>438.75</v>
      </c>
      <c r="J41" s="10">
        <v>3372.1</v>
      </c>
    </row>
    <row r="42" spans="1:10" x14ac:dyDescent="0.25">
      <c r="A42" s="13" t="s">
        <v>495</v>
      </c>
      <c r="D42" s="10"/>
      <c r="E42" s="10"/>
      <c r="F42" s="10"/>
      <c r="G42" s="10"/>
      <c r="H42" s="10"/>
      <c r="I42" s="10"/>
      <c r="J42" s="10"/>
    </row>
    <row r="43" spans="1:10" x14ac:dyDescent="0.25">
      <c r="A43" s="27" t="s">
        <v>1033</v>
      </c>
      <c r="B43" t="s">
        <v>1032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3000</v>
      </c>
    </row>
    <row r="44" spans="1:10" x14ac:dyDescent="0.25">
      <c r="A44" s="13" t="s">
        <v>539</v>
      </c>
      <c r="B44" s="13" t="s">
        <v>540</v>
      </c>
      <c r="D44" s="10">
        <v>1000</v>
      </c>
      <c r="E44" s="10">
        <f>1274.51+399.95</f>
        <v>1674.46</v>
      </c>
      <c r="F44" s="10">
        <v>6000</v>
      </c>
      <c r="G44" s="10">
        <v>26828</v>
      </c>
      <c r="H44" s="10">
        <v>6000</v>
      </c>
      <c r="I44" s="10">
        <v>588.16</v>
      </c>
      <c r="J44" s="10">
        <v>23376.18</v>
      </c>
    </row>
    <row r="45" spans="1:10" x14ac:dyDescent="0.25">
      <c r="A45" t="s">
        <v>116</v>
      </c>
      <c r="D45" s="10"/>
      <c r="E45" s="10"/>
      <c r="F45" s="10"/>
      <c r="G45" s="10"/>
      <c r="H45" s="10"/>
      <c r="I45" s="10"/>
      <c r="J45" s="10"/>
    </row>
    <row r="46" spans="1:10" x14ac:dyDescent="0.25">
      <c r="A46" t="s">
        <v>492</v>
      </c>
      <c r="B46" t="s">
        <v>893</v>
      </c>
      <c r="D46" s="10">
        <v>5000</v>
      </c>
      <c r="E46" s="10">
        <v>2676</v>
      </c>
      <c r="F46" s="10">
        <v>0</v>
      </c>
      <c r="G46" s="10">
        <v>0</v>
      </c>
      <c r="H46" s="10">
        <v>0</v>
      </c>
      <c r="I46" s="10">
        <v>45450.65</v>
      </c>
      <c r="J46" s="10">
        <v>0</v>
      </c>
    </row>
    <row r="47" spans="1:10" x14ac:dyDescent="0.25">
      <c r="A47" t="s">
        <v>311</v>
      </c>
      <c r="B47" s="27" t="s">
        <v>119</v>
      </c>
      <c r="D47" s="10">
        <v>17500</v>
      </c>
      <c r="E47" s="10">
        <v>20482.8</v>
      </c>
      <c r="F47" s="10">
        <v>6500</v>
      </c>
      <c r="G47" s="10">
        <v>27699.75</v>
      </c>
      <c r="H47" s="10">
        <v>6000</v>
      </c>
      <c r="I47" s="10">
        <v>0</v>
      </c>
      <c r="J47" s="10">
        <v>0</v>
      </c>
    </row>
    <row r="48" spans="1:10" x14ac:dyDescent="0.25">
      <c r="A48" t="s">
        <v>107</v>
      </c>
      <c r="D48" s="10"/>
      <c r="E48" s="10"/>
      <c r="F48" s="10"/>
      <c r="G48" s="10"/>
      <c r="H48" s="10"/>
      <c r="I48" s="10"/>
      <c r="J48" s="10"/>
    </row>
    <row r="49" spans="1:10" x14ac:dyDescent="0.25">
      <c r="A49" t="s">
        <v>312</v>
      </c>
      <c r="B49" t="s">
        <v>93</v>
      </c>
      <c r="D49" s="10">
        <v>0</v>
      </c>
      <c r="E49" s="10">
        <v>0</v>
      </c>
      <c r="F49" s="10">
        <v>75</v>
      </c>
      <c r="G49" s="10">
        <v>71.63</v>
      </c>
      <c r="H49" s="10">
        <v>0</v>
      </c>
      <c r="I49" s="10">
        <v>58.1</v>
      </c>
      <c r="J49" s="10">
        <v>16</v>
      </c>
    </row>
    <row r="50" spans="1:10" x14ac:dyDescent="0.25">
      <c r="A50" t="s">
        <v>313</v>
      </c>
      <c r="B50" t="s">
        <v>92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</row>
    <row r="51" spans="1:10" x14ac:dyDescent="0.25">
      <c r="A51" t="s">
        <v>314</v>
      </c>
      <c r="B51" t="s">
        <v>108</v>
      </c>
      <c r="D51" s="10">
        <v>0</v>
      </c>
      <c r="E51" s="10">
        <v>200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x14ac:dyDescent="0.25">
      <c r="D52" s="10"/>
      <c r="E52" s="10"/>
      <c r="F52" s="10"/>
      <c r="G52" s="10"/>
      <c r="H52" s="10"/>
      <c r="I52" s="10"/>
      <c r="J52" s="10"/>
    </row>
    <row r="53" spans="1:10" x14ac:dyDescent="0.25">
      <c r="A53" s="33"/>
      <c r="B53" s="25" t="s">
        <v>58</v>
      </c>
      <c r="D53" s="10">
        <f>SUM(D13:D51)</f>
        <v>52300</v>
      </c>
      <c r="E53" s="10">
        <f>SUM(E13:E51)</f>
        <v>43765.149999999994</v>
      </c>
      <c r="F53" s="10">
        <f>SUM(F13:F51)</f>
        <v>38675</v>
      </c>
      <c r="G53" s="10">
        <f>SUM(G13:G51)</f>
        <v>97525.22</v>
      </c>
      <c r="H53" s="10">
        <f>SUM(H13:H52)</f>
        <v>35500</v>
      </c>
      <c r="I53" s="10">
        <f>SUM(I13:I52)</f>
        <v>110620.01999999999</v>
      </c>
      <c r="J53" s="10">
        <f>SUM(J13:J52)</f>
        <v>55847.049999999996</v>
      </c>
    </row>
    <row r="54" spans="1:10" x14ac:dyDescent="0.25">
      <c r="A54" s="40"/>
      <c r="F54" s="10"/>
    </row>
    <row r="55" spans="1:10" x14ac:dyDescent="0.25">
      <c r="A55" s="114" t="s">
        <v>1008</v>
      </c>
    </row>
    <row r="56" spans="1:10" x14ac:dyDescent="0.25">
      <c r="A56" s="27"/>
    </row>
    <row r="58" spans="1:10" x14ac:dyDescent="0.25">
      <c r="A58" s="154" t="s">
        <v>1134</v>
      </c>
    </row>
    <row r="59" spans="1:10" x14ac:dyDescent="0.25">
      <c r="A59" s="114" t="s">
        <v>1063</v>
      </c>
    </row>
    <row r="60" spans="1:10" x14ac:dyDescent="0.25">
      <c r="A60" s="27" t="s">
        <v>1127</v>
      </c>
    </row>
    <row r="61" spans="1:10" x14ac:dyDescent="0.25">
      <c r="A61" s="27"/>
      <c r="H61" s="139"/>
    </row>
    <row r="63" spans="1:10" x14ac:dyDescent="0.25">
      <c r="A63" s="129" t="s">
        <v>1151</v>
      </c>
    </row>
    <row r="64" spans="1:10" x14ac:dyDescent="0.25">
      <c r="A64" s="27" t="s">
        <v>1181</v>
      </c>
    </row>
    <row r="65" spans="1:1" x14ac:dyDescent="0.25">
      <c r="A65" s="27" t="s">
        <v>1223</v>
      </c>
    </row>
    <row r="66" spans="1:1" x14ac:dyDescent="0.25">
      <c r="A66" s="27" t="s">
        <v>1264</v>
      </c>
    </row>
    <row r="67" spans="1:1" x14ac:dyDescent="0.25">
      <c r="A67" s="27" t="s">
        <v>1248</v>
      </c>
    </row>
    <row r="68" spans="1:1" x14ac:dyDescent="0.25">
      <c r="A68" s="27" t="s">
        <v>1265</v>
      </c>
    </row>
    <row r="69" spans="1:1" x14ac:dyDescent="0.25">
      <c r="A69" s="27" t="s">
        <v>1266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8"/>
  <sheetViews>
    <sheetView topLeftCell="A40" workbookViewId="0">
      <selection activeCell="D61" sqref="D61"/>
    </sheetView>
  </sheetViews>
  <sheetFormatPr defaultRowHeight="13.2" x14ac:dyDescent="0.25"/>
  <cols>
    <col min="1" max="1" width="26.88671875" customWidth="1"/>
    <col min="2" max="2" width="27.5546875" customWidth="1"/>
    <col min="3" max="3" width="1.6640625" customWidth="1"/>
    <col min="4" max="9" width="11.6640625" customWidth="1"/>
  </cols>
  <sheetData>
    <row r="1" spans="1:10" ht="15.6" x14ac:dyDescent="0.3">
      <c r="B1" s="14" t="s">
        <v>582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17">
        <v>2017</v>
      </c>
    </row>
    <row r="2" spans="1:10" x14ac:dyDescent="0.25"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 t="s">
        <v>807</v>
      </c>
    </row>
    <row r="3" spans="1:10" x14ac:dyDescent="0.25">
      <c r="A3" t="s">
        <v>78</v>
      </c>
    </row>
    <row r="4" spans="1:10" x14ac:dyDescent="0.25">
      <c r="A4" t="s">
        <v>878</v>
      </c>
      <c r="B4" t="s">
        <v>879</v>
      </c>
      <c r="D4" s="10">
        <v>1000</v>
      </c>
      <c r="E4" s="10">
        <v>674.59</v>
      </c>
      <c r="F4" s="10">
        <v>1000</v>
      </c>
      <c r="G4" s="10">
        <v>1115.29</v>
      </c>
      <c r="H4" s="10">
        <v>1000</v>
      </c>
      <c r="I4" s="10">
        <v>1180.23</v>
      </c>
    </row>
    <row r="5" spans="1:10" x14ac:dyDescent="0.25">
      <c r="A5" t="s">
        <v>857</v>
      </c>
      <c r="B5" t="s">
        <v>858</v>
      </c>
      <c r="D5" s="159">
        <v>23000</v>
      </c>
      <c r="E5" s="10">
        <v>22413</v>
      </c>
      <c r="F5" s="39">
        <v>22000</v>
      </c>
      <c r="G5" s="10">
        <v>22089</v>
      </c>
      <c r="H5" s="10">
        <v>18000</v>
      </c>
      <c r="I5" s="10">
        <v>22119</v>
      </c>
      <c r="J5" s="39"/>
    </row>
    <row r="6" spans="1:10" x14ac:dyDescent="0.25">
      <c r="A6" s="27" t="s">
        <v>859</v>
      </c>
      <c r="B6" s="27" t="s">
        <v>860</v>
      </c>
      <c r="D6" s="10">
        <v>10000</v>
      </c>
      <c r="E6" s="10">
        <v>9824.5400000000009</v>
      </c>
      <c r="F6" s="10">
        <v>11000</v>
      </c>
      <c r="G6" s="10">
        <v>12080.78</v>
      </c>
      <c r="H6" s="10">
        <v>10000</v>
      </c>
      <c r="I6" s="10">
        <v>11964.66</v>
      </c>
    </row>
    <row r="7" spans="1:10" x14ac:dyDescent="0.25">
      <c r="A7" s="27" t="s">
        <v>861</v>
      </c>
      <c r="B7" s="27" t="s">
        <v>862</v>
      </c>
      <c r="D7" s="159">
        <v>20000</v>
      </c>
      <c r="E7" s="10">
        <v>19713.669999999998</v>
      </c>
      <c r="F7" s="39">
        <v>17000</v>
      </c>
      <c r="G7" s="10">
        <v>17894.29</v>
      </c>
      <c r="H7" s="10">
        <v>15000</v>
      </c>
      <c r="I7" s="10">
        <v>20030.099999999999</v>
      </c>
    </row>
    <row r="8" spans="1:10" x14ac:dyDescent="0.25">
      <c r="A8" s="27" t="s">
        <v>863</v>
      </c>
      <c r="B8" t="s">
        <v>864</v>
      </c>
      <c r="D8" s="159">
        <v>17000</v>
      </c>
      <c r="E8" s="10">
        <v>16672.52</v>
      </c>
      <c r="F8" s="39">
        <v>16000</v>
      </c>
      <c r="G8" s="10">
        <v>16541.53</v>
      </c>
      <c r="H8" s="10">
        <v>15000</v>
      </c>
      <c r="I8" s="10">
        <v>16580.59</v>
      </c>
    </row>
    <row r="9" spans="1:10" x14ac:dyDescent="0.25">
      <c r="A9" s="27" t="s">
        <v>880</v>
      </c>
      <c r="B9" t="s">
        <v>881</v>
      </c>
      <c r="D9" s="10">
        <v>0</v>
      </c>
      <c r="E9" s="10">
        <v>0</v>
      </c>
      <c r="F9" s="10">
        <v>0</v>
      </c>
      <c r="G9" s="10">
        <v>944.51</v>
      </c>
      <c r="H9" s="10">
        <v>0</v>
      </c>
      <c r="I9" s="10">
        <v>83.71</v>
      </c>
    </row>
    <row r="10" spans="1:10" x14ac:dyDescent="0.25">
      <c r="D10" s="10"/>
      <c r="E10" s="10"/>
      <c r="F10" s="10"/>
      <c r="G10" s="10"/>
      <c r="H10" s="10"/>
      <c r="I10" s="10"/>
    </row>
    <row r="11" spans="1:10" x14ac:dyDescent="0.25">
      <c r="B11" s="25" t="s">
        <v>58</v>
      </c>
      <c r="D11" s="10">
        <f>SUM(D4:D9)</f>
        <v>71000</v>
      </c>
      <c r="E11" s="10">
        <f>SUM(E4:E9)</f>
        <v>69298.320000000007</v>
      </c>
      <c r="F11" s="10">
        <f>SUM(F4:F9)</f>
        <v>67000</v>
      </c>
      <c r="G11" s="10">
        <f>SUM(G4:G9)</f>
        <v>70665.399999999994</v>
      </c>
      <c r="H11" s="10">
        <f>SUM(H4:H10)</f>
        <v>59000</v>
      </c>
      <c r="I11" s="10">
        <f>SUM(I4:I10)</f>
        <v>71958.290000000008</v>
      </c>
    </row>
    <row r="12" spans="1:10" x14ac:dyDescent="0.25">
      <c r="B12" s="25"/>
      <c r="D12" s="10"/>
      <c r="E12" s="10"/>
      <c r="F12" s="10"/>
      <c r="G12" s="10"/>
      <c r="H12" s="10"/>
      <c r="I12" s="10"/>
    </row>
    <row r="13" spans="1:10" x14ac:dyDescent="0.25">
      <c r="A13" t="s">
        <v>79</v>
      </c>
      <c r="B13" s="25"/>
      <c r="D13" s="10"/>
      <c r="E13" s="10"/>
      <c r="F13" s="10"/>
      <c r="G13" s="10"/>
      <c r="H13" s="10"/>
      <c r="I13" s="10"/>
    </row>
    <row r="14" spans="1:10" x14ac:dyDescent="0.25">
      <c r="A14" t="s">
        <v>192</v>
      </c>
      <c r="D14" s="10"/>
      <c r="E14" s="10"/>
      <c r="F14" s="10"/>
      <c r="G14" s="10"/>
      <c r="H14" s="10"/>
      <c r="I14" s="10"/>
      <c r="J14" s="10"/>
    </row>
    <row r="15" spans="1:10" x14ac:dyDescent="0.25">
      <c r="A15" t="s">
        <v>315</v>
      </c>
      <c r="B15" t="s">
        <v>46</v>
      </c>
      <c r="D15" s="10">
        <v>70000</v>
      </c>
      <c r="E15" s="10">
        <f>73902+131.24</f>
        <v>74033.240000000005</v>
      </c>
      <c r="F15" s="10">
        <v>65000</v>
      </c>
      <c r="G15" s="10">
        <f>65112.3+356.82</f>
        <v>65469.120000000003</v>
      </c>
      <c r="H15" s="10">
        <v>60000</v>
      </c>
      <c r="I15" s="10">
        <v>67415.56</v>
      </c>
      <c r="J15" s="10"/>
    </row>
    <row r="16" spans="1:10" x14ac:dyDescent="0.25">
      <c r="A16" t="s">
        <v>669</v>
      </c>
      <c r="B16" t="s">
        <v>670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/>
    </row>
    <row r="17" spans="1:10" x14ac:dyDescent="0.25">
      <c r="A17" t="s">
        <v>188</v>
      </c>
      <c r="D17" s="10"/>
      <c r="E17" s="10"/>
      <c r="F17" s="10"/>
      <c r="G17" s="10"/>
      <c r="H17" s="10"/>
      <c r="I17" s="10"/>
      <c r="J17" s="10"/>
    </row>
    <row r="18" spans="1:10" x14ac:dyDescent="0.25">
      <c r="A18" t="s">
        <v>316</v>
      </c>
      <c r="B18" t="s">
        <v>82</v>
      </c>
      <c r="D18" s="10">
        <f>0.062*SUM(D15:D16)</f>
        <v>4340</v>
      </c>
      <c r="E18" s="10">
        <v>4581.87</v>
      </c>
      <c r="F18" s="10">
        <f>0.062*SUM(F15:F16)</f>
        <v>4030</v>
      </c>
      <c r="G18" s="10">
        <v>4059.07</v>
      </c>
      <c r="H18" s="10">
        <v>3720</v>
      </c>
      <c r="I18" s="10">
        <v>4179.6400000000003</v>
      </c>
      <c r="J18" s="10"/>
    </row>
    <row r="19" spans="1:10" x14ac:dyDescent="0.25">
      <c r="A19" t="s">
        <v>317</v>
      </c>
      <c r="B19" t="s">
        <v>84</v>
      </c>
      <c r="D19" s="10">
        <f>0.0145*SUM(D15:D16)</f>
        <v>1015</v>
      </c>
      <c r="E19" s="10">
        <v>1071.55</v>
      </c>
      <c r="F19" s="10">
        <f>0.0145*SUM(F15:F16)</f>
        <v>942.5</v>
      </c>
      <c r="G19" s="10">
        <v>949.34</v>
      </c>
      <c r="H19" s="10">
        <v>870</v>
      </c>
      <c r="I19" s="10">
        <v>977.5</v>
      </c>
      <c r="J19" s="10"/>
    </row>
    <row r="20" spans="1:10" x14ac:dyDescent="0.25">
      <c r="A20" t="s">
        <v>43</v>
      </c>
      <c r="D20" s="10"/>
      <c r="E20" s="10"/>
      <c r="F20" s="10"/>
      <c r="G20" s="10"/>
      <c r="H20" s="10"/>
      <c r="I20" s="10"/>
      <c r="J20" s="10"/>
    </row>
    <row r="21" spans="1:10" x14ac:dyDescent="0.25">
      <c r="A21" t="s">
        <v>318</v>
      </c>
      <c r="B21" t="s">
        <v>182</v>
      </c>
      <c r="D21" s="10">
        <v>3500</v>
      </c>
      <c r="E21" s="10">
        <v>3497</v>
      </c>
      <c r="F21" s="10">
        <v>3800</v>
      </c>
      <c r="G21" s="10">
        <v>3762.59</v>
      </c>
      <c r="H21" s="10">
        <v>4000</v>
      </c>
      <c r="I21" s="10">
        <v>3724.27</v>
      </c>
      <c r="J21" s="10"/>
    </row>
    <row r="22" spans="1:10" x14ac:dyDescent="0.25">
      <c r="A22" t="s">
        <v>33</v>
      </c>
      <c r="D22" s="10"/>
      <c r="E22" s="10"/>
      <c r="F22" s="10"/>
      <c r="G22" s="10"/>
      <c r="H22" s="10"/>
      <c r="I22" s="10"/>
      <c r="J22" s="10"/>
    </row>
    <row r="23" spans="1:10" x14ac:dyDescent="0.25">
      <c r="A23" t="s">
        <v>319</v>
      </c>
      <c r="B23" t="s">
        <v>34</v>
      </c>
      <c r="D23" s="10">
        <v>100</v>
      </c>
      <c r="E23" s="10">
        <v>0</v>
      </c>
      <c r="F23" s="10">
        <v>100</v>
      </c>
      <c r="G23" s="10">
        <v>107.9</v>
      </c>
      <c r="H23" s="10">
        <v>100</v>
      </c>
      <c r="I23" s="10">
        <v>73.72</v>
      </c>
      <c r="J23" s="10"/>
    </row>
    <row r="24" spans="1:10" x14ac:dyDescent="0.25">
      <c r="A24" t="s">
        <v>320</v>
      </c>
      <c r="B24" t="s">
        <v>35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/>
    </row>
    <row r="25" spans="1:10" x14ac:dyDescent="0.25">
      <c r="A25" t="s">
        <v>321</v>
      </c>
      <c r="B25" t="s">
        <v>36</v>
      </c>
      <c r="D25" s="10">
        <v>0</v>
      </c>
      <c r="E25" s="10">
        <v>0</v>
      </c>
      <c r="F25" s="10"/>
      <c r="G25" s="10">
        <v>0</v>
      </c>
      <c r="H25" s="10">
        <v>200</v>
      </c>
      <c r="I25" s="10">
        <v>69.569999999999993</v>
      </c>
      <c r="J25" s="10"/>
    </row>
    <row r="26" spans="1:10" x14ac:dyDescent="0.25">
      <c r="A26" t="s">
        <v>322</v>
      </c>
      <c r="B26" t="s">
        <v>42</v>
      </c>
      <c r="D26" s="10">
        <v>400</v>
      </c>
      <c r="E26" s="10">
        <v>318.29000000000002</v>
      </c>
      <c r="F26" s="10">
        <v>400</v>
      </c>
      <c r="G26" s="10">
        <v>440.39</v>
      </c>
      <c r="H26" s="10">
        <v>300</v>
      </c>
      <c r="I26" s="10">
        <v>400.5</v>
      </c>
      <c r="J26" s="10"/>
    </row>
    <row r="27" spans="1:10" x14ac:dyDescent="0.25">
      <c r="A27" t="s">
        <v>149</v>
      </c>
      <c r="D27" s="10"/>
      <c r="E27" s="10"/>
      <c r="F27" s="10"/>
      <c r="G27" s="10"/>
      <c r="H27" s="10"/>
      <c r="I27" s="10"/>
      <c r="J27" s="10"/>
    </row>
    <row r="28" spans="1:10" x14ac:dyDescent="0.25">
      <c r="A28" t="s">
        <v>323</v>
      </c>
      <c r="B28" t="s">
        <v>151</v>
      </c>
      <c r="D28" s="10">
        <v>500</v>
      </c>
      <c r="E28" s="10">
        <v>739.92</v>
      </c>
      <c r="F28" s="10">
        <v>500</v>
      </c>
      <c r="G28" s="10">
        <v>652.33000000000004</v>
      </c>
      <c r="H28" s="10">
        <v>300</v>
      </c>
      <c r="I28" s="10">
        <v>320.58999999999997</v>
      </c>
      <c r="J28" s="10"/>
    </row>
    <row r="29" spans="1:10" x14ac:dyDescent="0.25">
      <c r="A29" t="s">
        <v>324</v>
      </c>
      <c r="B29" t="s">
        <v>31</v>
      </c>
      <c r="D29" s="10">
        <v>8000</v>
      </c>
      <c r="E29" s="10">
        <v>10844.26</v>
      </c>
      <c r="F29" s="10">
        <v>8000</v>
      </c>
      <c r="G29" s="10">
        <v>5453.08</v>
      </c>
      <c r="H29" s="10">
        <v>8500</v>
      </c>
      <c r="I29" s="10">
        <v>7774.4</v>
      </c>
      <c r="J29" s="10"/>
    </row>
    <row r="30" spans="1:10" x14ac:dyDescent="0.25">
      <c r="A30" t="s">
        <v>325</v>
      </c>
      <c r="B30" t="s">
        <v>32</v>
      </c>
      <c r="D30" s="10">
        <v>2000</v>
      </c>
      <c r="E30" s="10">
        <v>6102.7</v>
      </c>
      <c r="F30" s="10">
        <v>1000</v>
      </c>
      <c r="G30" s="10">
        <v>894.17</v>
      </c>
      <c r="H30" s="10">
        <v>1200</v>
      </c>
      <c r="I30" s="10">
        <v>1742.9</v>
      </c>
      <c r="J30" s="10"/>
    </row>
    <row r="31" spans="1:10" x14ac:dyDescent="0.25">
      <c r="A31" t="s">
        <v>23</v>
      </c>
      <c r="D31" s="10"/>
      <c r="E31" s="10"/>
      <c r="F31" s="10"/>
      <c r="G31" s="10"/>
      <c r="H31" s="10"/>
      <c r="I31" s="10"/>
      <c r="J31" s="10"/>
    </row>
    <row r="32" spans="1:10" x14ac:dyDescent="0.25">
      <c r="A32" t="s">
        <v>326</v>
      </c>
      <c r="B32" t="s">
        <v>141</v>
      </c>
      <c r="D32" s="10">
        <v>1000</v>
      </c>
      <c r="E32" s="10">
        <v>2809.23</v>
      </c>
      <c r="F32" s="10">
        <v>1000</v>
      </c>
      <c r="G32" s="10">
        <v>1115.82</v>
      </c>
      <c r="H32" s="10">
        <v>700</v>
      </c>
      <c r="I32" s="10">
        <v>1647.22</v>
      </c>
      <c r="J32" s="10"/>
    </row>
    <row r="33" spans="1:10" x14ac:dyDescent="0.25">
      <c r="A33" t="s">
        <v>327</v>
      </c>
      <c r="B33" t="s">
        <v>143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</row>
    <row r="34" spans="1:10" x14ac:dyDescent="0.25">
      <c r="A34" s="13" t="s">
        <v>507</v>
      </c>
      <c r="B34" t="s">
        <v>547</v>
      </c>
      <c r="D34" s="10">
        <v>200</v>
      </c>
      <c r="E34" s="10">
        <v>204.41</v>
      </c>
      <c r="F34" s="10">
        <v>0</v>
      </c>
      <c r="G34" s="10">
        <v>0</v>
      </c>
      <c r="H34" s="10">
        <v>150</v>
      </c>
      <c r="I34" s="10">
        <v>29.23</v>
      </c>
      <c r="J34" s="10"/>
    </row>
    <row r="35" spans="1:10" x14ac:dyDescent="0.25">
      <c r="A35" t="s">
        <v>328</v>
      </c>
      <c r="B35" t="s">
        <v>146</v>
      </c>
      <c r="D35" s="10">
        <v>0</v>
      </c>
      <c r="E35" s="10">
        <v>0</v>
      </c>
      <c r="F35" s="10">
        <v>200</v>
      </c>
      <c r="G35" s="10">
        <v>0</v>
      </c>
      <c r="H35" s="10">
        <v>200</v>
      </c>
      <c r="I35" s="10">
        <v>59.42</v>
      </c>
      <c r="J35" s="10"/>
    </row>
    <row r="36" spans="1:10" x14ac:dyDescent="0.25">
      <c r="A36" t="s">
        <v>329</v>
      </c>
      <c r="B36" t="s">
        <v>148</v>
      </c>
      <c r="D36" s="159">
        <v>0</v>
      </c>
      <c r="E36" s="10">
        <v>0</v>
      </c>
      <c r="F36" s="10">
        <v>300</v>
      </c>
      <c r="G36" s="10">
        <v>0</v>
      </c>
      <c r="H36" s="10">
        <v>300</v>
      </c>
      <c r="I36" s="10">
        <v>174.67</v>
      </c>
      <c r="J36" s="10"/>
    </row>
    <row r="37" spans="1:10" x14ac:dyDescent="0.25">
      <c r="A37" s="13" t="s">
        <v>17</v>
      </c>
      <c r="D37" s="10"/>
      <c r="E37" s="10"/>
      <c r="F37" s="10"/>
      <c r="G37" s="10"/>
      <c r="H37" s="10"/>
      <c r="I37" s="10"/>
      <c r="J37" s="10"/>
    </row>
    <row r="38" spans="1:10" x14ac:dyDescent="0.25">
      <c r="A38" s="13" t="s">
        <v>509</v>
      </c>
      <c r="B38" s="13" t="s">
        <v>542</v>
      </c>
      <c r="D38" s="10">
        <v>1000</v>
      </c>
      <c r="E38" s="10">
        <v>843.87</v>
      </c>
      <c r="F38" s="10">
        <v>1500</v>
      </c>
      <c r="G38" s="10">
        <v>1418.46</v>
      </c>
      <c r="H38" s="10">
        <v>3000</v>
      </c>
      <c r="I38" s="10">
        <v>959.8</v>
      </c>
      <c r="J38" s="10"/>
    </row>
    <row r="39" spans="1:10" x14ac:dyDescent="0.25">
      <c r="A39" s="13" t="s">
        <v>510</v>
      </c>
      <c r="B39" s="27" t="s">
        <v>1064</v>
      </c>
      <c r="D39" s="10">
        <v>6500</v>
      </c>
      <c r="E39" s="10">
        <v>7918.29</v>
      </c>
      <c r="F39" s="10">
        <v>3500</v>
      </c>
      <c r="G39" s="10">
        <v>6478.27</v>
      </c>
      <c r="H39" s="10">
        <v>5500</v>
      </c>
      <c r="I39" s="10">
        <v>3777.85</v>
      </c>
      <c r="J39" s="10"/>
    </row>
    <row r="40" spans="1:10" x14ac:dyDescent="0.25">
      <c r="A40" s="13" t="s">
        <v>579</v>
      </c>
      <c r="B40" s="13" t="s">
        <v>580</v>
      </c>
      <c r="D40" s="10">
        <v>100</v>
      </c>
      <c r="E40" s="10">
        <v>117.03</v>
      </c>
      <c r="F40" s="10">
        <v>300</v>
      </c>
      <c r="G40" s="10">
        <v>153.62</v>
      </c>
      <c r="H40" s="10">
        <v>500</v>
      </c>
      <c r="I40" s="10">
        <v>5035.24</v>
      </c>
      <c r="J40" s="10"/>
    </row>
    <row r="41" spans="1:10" x14ac:dyDescent="0.25">
      <c r="A41" t="s">
        <v>6</v>
      </c>
      <c r="D41" s="10"/>
      <c r="E41" s="10"/>
      <c r="F41" s="10"/>
      <c r="G41" s="10"/>
      <c r="H41" s="10"/>
      <c r="I41" s="10"/>
      <c r="J41" s="10"/>
    </row>
    <row r="42" spans="1:10" x14ac:dyDescent="0.25">
      <c r="A42" t="s">
        <v>330</v>
      </c>
      <c r="B42" t="s">
        <v>14</v>
      </c>
      <c r="D42" s="10">
        <v>500</v>
      </c>
      <c r="E42" s="10">
        <v>439</v>
      </c>
      <c r="F42" s="10">
        <v>500</v>
      </c>
      <c r="G42" s="10">
        <v>680</v>
      </c>
      <c r="H42" s="10">
        <v>100</v>
      </c>
      <c r="I42" s="10">
        <v>528.98</v>
      </c>
      <c r="J42" s="10"/>
    </row>
    <row r="43" spans="1:10" x14ac:dyDescent="0.25">
      <c r="A43" s="13" t="s">
        <v>508</v>
      </c>
      <c r="B43" s="27" t="s">
        <v>812</v>
      </c>
      <c r="D43" s="10">
        <v>2200</v>
      </c>
      <c r="E43" s="10">
        <v>2937.49</v>
      </c>
      <c r="F43" s="10">
        <v>1800</v>
      </c>
      <c r="G43" s="10">
        <v>2436.3000000000002</v>
      </c>
      <c r="H43" s="10">
        <v>1650</v>
      </c>
      <c r="I43" s="10">
        <v>5608.5</v>
      </c>
      <c r="J43" s="10"/>
    </row>
    <row r="44" spans="1:10" x14ac:dyDescent="0.25">
      <c r="A44" t="s">
        <v>5</v>
      </c>
      <c r="D44" s="10"/>
      <c r="E44" s="10"/>
      <c r="F44" s="10"/>
      <c r="G44" s="10"/>
      <c r="H44" s="10"/>
      <c r="I44" s="10"/>
      <c r="J44" s="10"/>
    </row>
    <row r="45" spans="1:10" x14ac:dyDescent="0.25">
      <c r="A45" t="s">
        <v>331</v>
      </c>
      <c r="B45" t="s">
        <v>89</v>
      </c>
      <c r="D45" s="10">
        <v>400</v>
      </c>
      <c r="E45" s="10">
        <v>239.52</v>
      </c>
      <c r="F45" s="10">
        <v>400</v>
      </c>
      <c r="G45" s="10">
        <v>334.05</v>
      </c>
      <c r="H45" s="10">
        <v>575</v>
      </c>
      <c r="I45" s="10">
        <v>349.51</v>
      </c>
      <c r="J45" s="10"/>
    </row>
    <row r="46" spans="1:10" x14ac:dyDescent="0.25">
      <c r="A46" t="s">
        <v>136</v>
      </c>
      <c r="D46" s="10"/>
      <c r="E46" s="10"/>
      <c r="F46" s="10"/>
      <c r="G46" s="10"/>
      <c r="H46" s="10"/>
      <c r="I46" s="10"/>
    </row>
    <row r="47" spans="1:10" x14ac:dyDescent="0.25">
      <c r="A47" t="s">
        <v>332</v>
      </c>
      <c r="B47" t="s">
        <v>137</v>
      </c>
      <c r="D47" s="10">
        <v>1000</v>
      </c>
      <c r="E47" s="10">
        <v>932.9</v>
      </c>
      <c r="F47" s="10">
        <v>1000</v>
      </c>
      <c r="G47" s="10">
        <v>898.8</v>
      </c>
      <c r="H47" s="10">
        <v>2000</v>
      </c>
      <c r="I47" s="10">
        <v>1358.95</v>
      </c>
      <c r="J47" s="10"/>
    </row>
    <row r="48" spans="1:10" x14ac:dyDescent="0.25">
      <c r="A48" t="s">
        <v>128</v>
      </c>
      <c r="D48" s="10"/>
      <c r="E48" s="10"/>
      <c r="F48" s="10"/>
      <c r="G48" s="10"/>
      <c r="H48" s="10"/>
      <c r="I48" s="10"/>
      <c r="J48" s="10"/>
    </row>
    <row r="49" spans="1:10" x14ac:dyDescent="0.25">
      <c r="A49" t="s">
        <v>333</v>
      </c>
      <c r="B49" t="s">
        <v>130</v>
      </c>
      <c r="D49" s="10">
        <v>10500</v>
      </c>
      <c r="E49" s="10">
        <v>11886</v>
      </c>
      <c r="F49" s="10">
        <v>11000</v>
      </c>
      <c r="G49" s="10">
        <v>11010</v>
      </c>
      <c r="H49" s="10">
        <v>9200</v>
      </c>
      <c r="I49" s="10">
        <v>10546</v>
      </c>
      <c r="J49" s="10"/>
    </row>
    <row r="50" spans="1:10" x14ac:dyDescent="0.25">
      <c r="A50" t="s">
        <v>121</v>
      </c>
      <c r="D50" s="10"/>
      <c r="E50" s="10"/>
      <c r="F50" s="10"/>
      <c r="G50" s="10"/>
      <c r="H50" s="10"/>
      <c r="I50" s="10"/>
      <c r="J50" s="10"/>
    </row>
    <row r="51" spans="1:10" x14ac:dyDescent="0.25">
      <c r="A51" t="s">
        <v>334</v>
      </c>
      <c r="B51" t="s">
        <v>122</v>
      </c>
      <c r="D51" s="10">
        <v>8000</v>
      </c>
      <c r="E51" s="10">
        <v>8828.18</v>
      </c>
      <c r="F51" s="10">
        <v>8000</v>
      </c>
      <c r="G51" s="10">
        <v>8708.91</v>
      </c>
      <c r="H51" s="10">
        <v>8000</v>
      </c>
      <c r="I51" s="10">
        <v>10056.549999999999</v>
      </c>
      <c r="J51" s="10"/>
    </row>
    <row r="52" spans="1:10" x14ac:dyDescent="0.25">
      <c r="A52" t="s">
        <v>335</v>
      </c>
      <c r="B52" t="s">
        <v>123</v>
      </c>
      <c r="D52" s="10">
        <v>2500</v>
      </c>
      <c r="E52" s="10">
        <v>14960.04</v>
      </c>
      <c r="F52" s="10">
        <v>2500</v>
      </c>
      <c r="G52" s="10">
        <v>2881.86</v>
      </c>
      <c r="H52" s="10">
        <v>2500</v>
      </c>
      <c r="I52" s="10">
        <v>2229.4899999999998</v>
      </c>
      <c r="J52" s="10"/>
    </row>
    <row r="53" spans="1:10" x14ac:dyDescent="0.25">
      <c r="A53" t="s">
        <v>336</v>
      </c>
      <c r="B53" t="s">
        <v>124</v>
      </c>
      <c r="D53" s="10">
        <v>6500</v>
      </c>
      <c r="E53" s="10">
        <v>8220.26</v>
      </c>
      <c r="F53" s="10">
        <v>6500</v>
      </c>
      <c r="G53" s="10">
        <v>6042.77</v>
      </c>
      <c r="H53" s="10">
        <v>6500</v>
      </c>
      <c r="I53" s="10">
        <v>7576.29</v>
      </c>
      <c r="J53" s="10"/>
    </row>
    <row r="54" spans="1:10" x14ac:dyDescent="0.25">
      <c r="A54" t="s">
        <v>337</v>
      </c>
      <c r="B54" t="s">
        <v>125</v>
      </c>
      <c r="D54" s="10">
        <v>600</v>
      </c>
      <c r="E54" s="10">
        <v>428.05</v>
      </c>
      <c r="F54" s="10">
        <v>600</v>
      </c>
      <c r="G54" s="10">
        <v>402.04</v>
      </c>
      <c r="H54" s="10">
        <v>600</v>
      </c>
      <c r="I54" s="10">
        <v>351.79</v>
      </c>
      <c r="J54" s="10"/>
    </row>
    <row r="55" spans="1:10" x14ac:dyDescent="0.25">
      <c r="A55" t="s">
        <v>338</v>
      </c>
      <c r="B55" t="s">
        <v>126</v>
      </c>
      <c r="D55" s="10">
        <v>2500</v>
      </c>
      <c r="E55" s="10">
        <v>7880.12</v>
      </c>
      <c r="F55" s="10">
        <v>2000</v>
      </c>
      <c r="G55" s="10">
        <v>2595.19</v>
      </c>
      <c r="H55" s="10">
        <v>1650</v>
      </c>
      <c r="I55" s="10">
        <v>1310.71</v>
      </c>
      <c r="J55" s="10"/>
    </row>
    <row r="56" spans="1:10" x14ac:dyDescent="0.25">
      <c r="A56" s="27" t="s">
        <v>495</v>
      </c>
      <c r="B56" s="20"/>
      <c r="D56" s="10"/>
      <c r="E56" s="10"/>
      <c r="F56" s="10"/>
      <c r="G56" s="10"/>
      <c r="H56" s="10"/>
      <c r="I56" s="10"/>
      <c r="J56" s="10"/>
    </row>
    <row r="57" spans="1:10" x14ac:dyDescent="0.25">
      <c r="A57" s="27" t="s">
        <v>672</v>
      </c>
      <c r="B57" s="27" t="s">
        <v>500</v>
      </c>
      <c r="D57" s="10">
        <v>0</v>
      </c>
      <c r="E57" s="10">
        <v>0</v>
      </c>
      <c r="F57" s="159">
        <v>1000</v>
      </c>
      <c r="G57" s="10">
        <v>2624.98</v>
      </c>
      <c r="H57" s="10">
        <v>2000</v>
      </c>
      <c r="I57" s="10">
        <v>0</v>
      </c>
      <c r="J57" s="10"/>
    </row>
    <row r="58" spans="1:10" x14ac:dyDescent="0.25">
      <c r="A58" s="27" t="s">
        <v>673</v>
      </c>
      <c r="B58" s="27" t="s">
        <v>674</v>
      </c>
      <c r="D58" s="10">
        <v>2500</v>
      </c>
      <c r="E58" s="10">
        <v>0</v>
      </c>
      <c r="F58" s="10">
        <v>500</v>
      </c>
      <c r="G58" s="10">
        <v>7046.14</v>
      </c>
      <c r="H58" s="10">
        <v>2500</v>
      </c>
      <c r="I58" s="10">
        <v>424.69</v>
      </c>
      <c r="J58" s="10"/>
    </row>
    <row r="59" spans="1:10" x14ac:dyDescent="0.25">
      <c r="A59" s="27" t="s">
        <v>671</v>
      </c>
      <c r="B59" s="27" t="s">
        <v>114</v>
      </c>
      <c r="D59" s="10">
        <v>0</v>
      </c>
      <c r="E59" s="10">
        <v>0</v>
      </c>
      <c r="F59" s="10">
        <v>500</v>
      </c>
      <c r="G59" s="10">
        <v>597.41</v>
      </c>
      <c r="H59" s="10">
        <v>500</v>
      </c>
      <c r="I59" s="10">
        <v>567.49</v>
      </c>
      <c r="J59" s="10"/>
    </row>
    <row r="60" spans="1:10" x14ac:dyDescent="0.25">
      <c r="A60" t="s">
        <v>116</v>
      </c>
      <c r="D60" s="10"/>
      <c r="E60" s="10"/>
      <c r="F60" s="10"/>
      <c r="G60" s="10"/>
      <c r="H60" s="10"/>
      <c r="I60" s="10"/>
      <c r="J60" s="10"/>
    </row>
    <row r="61" spans="1:10" x14ac:dyDescent="0.25">
      <c r="A61" t="s">
        <v>662</v>
      </c>
      <c r="B61" t="s">
        <v>117</v>
      </c>
      <c r="D61" s="159">
        <v>500</v>
      </c>
      <c r="E61" s="10">
        <v>0</v>
      </c>
      <c r="F61" s="10">
        <v>1000</v>
      </c>
      <c r="G61" s="10">
        <v>0</v>
      </c>
      <c r="H61" s="10">
        <v>2000</v>
      </c>
      <c r="I61" s="10">
        <v>6250</v>
      </c>
      <c r="J61" s="10"/>
    </row>
    <row r="62" spans="1:10" x14ac:dyDescent="0.25">
      <c r="A62" t="s">
        <v>339</v>
      </c>
      <c r="B62" t="s">
        <v>118</v>
      </c>
      <c r="D62" s="10">
        <v>1000</v>
      </c>
      <c r="E62" s="10">
        <v>7475</v>
      </c>
      <c r="F62" s="10">
        <v>7000</v>
      </c>
      <c r="G62" s="10">
        <v>0</v>
      </c>
      <c r="H62" s="10">
        <v>2700</v>
      </c>
      <c r="I62" s="10">
        <v>0</v>
      </c>
      <c r="J62" s="10"/>
    </row>
    <row r="63" spans="1:10" x14ac:dyDescent="0.25">
      <c r="A63" t="s">
        <v>340</v>
      </c>
      <c r="B63" s="27" t="s">
        <v>119</v>
      </c>
      <c r="D63" s="10"/>
      <c r="E63" s="10">
        <v>0</v>
      </c>
      <c r="F63" s="10">
        <v>0</v>
      </c>
      <c r="G63" s="10">
        <v>0</v>
      </c>
      <c r="H63" s="10">
        <v>1000</v>
      </c>
      <c r="I63" s="10">
        <v>916</v>
      </c>
      <c r="J63" s="10"/>
    </row>
    <row r="64" spans="1:10" x14ac:dyDescent="0.25">
      <c r="A64" t="s">
        <v>107</v>
      </c>
      <c r="D64" s="10"/>
      <c r="E64" s="10"/>
      <c r="F64" s="10"/>
      <c r="G64" s="10"/>
      <c r="H64" s="10"/>
      <c r="I64" s="10"/>
    </row>
    <row r="65" spans="1:9" x14ac:dyDescent="0.25">
      <c r="A65" t="s">
        <v>341</v>
      </c>
      <c r="B65" t="s">
        <v>93</v>
      </c>
      <c r="D65" s="10">
        <v>750</v>
      </c>
      <c r="E65" s="10">
        <v>1066.6199999999999</v>
      </c>
      <c r="F65" s="10">
        <v>750</v>
      </c>
      <c r="G65" s="10">
        <v>966.56</v>
      </c>
      <c r="H65" s="10">
        <v>750</v>
      </c>
      <c r="I65" s="10">
        <v>1382.01</v>
      </c>
    </row>
    <row r="66" spans="1:9" x14ac:dyDescent="0.25">
      <c r="A66" t="s">
        <v>342</v>
      </c>
      <c r="B66" t="s">
        <v>91</v>
      </c>
      <c r="D66" s="10">
        <v>1500</v>
      </c>
      <c r="E66" s="10">
        <v>1677</v>
      </c>
      <c r="F66" s="10">
        <v>1500</v>
      </c>
      <c r="G66" s="10">
        <v>1409.21</v>
      </c>
      <c r="H66" s="10">
        <v>2500</v>
      </c>
      <c r="I66" s="10">
        <v>2554.54</v>
      </c>
    </row>
    <row r="67" spans="1:9" x14ac:dyDescent="0.25">
      <c r="A67" t="s">
        <v>343</v>
      </c>
      <c r="B67" t="s">
        <v>108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-11</v>
      </c>
    </row>
    <row r="68" spans="1:9" x14ac:dyDescent="0.25">
      <c r="D68" s="10"/>
      <c r="E68" s="10"/>
      <c r="F68" s="10"/>
      <c r="G68" s="10"/>
      <c r="H68" s="10"/>
      <c r="I68" s="10"/>
    </row>
    <row r="69" spans="1:9" x14ac:dyDescent="0.25">
      <c r="B69" s="25" t="s">
        <v>58</v>
      </c>
      <c r="D69" s="10">
        <f>SUM(D15:D67)</f>
        <v>139605</v>
      </c>
      <c r="E69" s="10">
        <f>SUM(E15:E67)</f>
        <v>180051.83999999997</v>
      </c>
      <c r="F69" s="10">
        <f>SUM(F15:F67)</f>
        <v>137122.5</v>
      </c>
      <c r="G69" s="10">
        <f>SUM(G15:G67)</f>
        <v>139588.38</v>
      </c>
      <c r="H69" s="10">
        <f>SUM(H15:H68)</f>
        <v>136265</v>
      </c>
      <c r="I69" s="10">
        <f>SUM(I15:I68)</f>
        <v>150362.58000000002</v>
      </c>
    </row>
    <row r="72" spans="1:9" x14ac:dyDescent="0.25">
      <c r="A72" s="27"/>
    </row>
    <row r="73" spans="1:9" x14ac:dyDescent="0.25">
      <c r="A73" s="129" t="s">
        <v>1073</v>
      </c>
      <c r="B73" s="129"/>
    </row>
    <row r="74" spans="1:9" x14ac:dyDescent="0.25">
      <c r="A74" s="148" t="s">
        <v>1082</v>
      </c>
      <c r="B74" s="27"/>
    </row>
    <row r="75" spans="1:9" x14ac:dyDescent="0.25">
      <c r="A75" s="149" t="s">
        <v>1081</v>
      </c>
      <c r="B75" s="123"/>
      <c r="C75" s="118"/>
      <c r="D75" s="118"/>
      <c r="E75" s="118"/>
      <c r="F75" s="118"/>
      <c r="G75" s="118"/>
      <c r="H75" s="118"/>
      <c r="I75" s="118"/>
    </row>
    <row r="76" spans="1:9" x14ac:dyDescent="0.25">
      <c r="A76" s="149"/>
      <c r="B76" s="123"/>
      <c r="C76" s="118"/>
      <c r="D76" s="118"/>
      <c r="E76" s="118"/>
      <c r="F76" s="118"/>
      <c r="G76" s="118"/>
      <c r="H76" s="118"/>
      <c r="I76" s="118"/>
    </row>
    <row r="77" spans="1:9" x14ac:dyDescent="0.25">
      <c r="A77" s="27"/>
      <c r="B77" s="123"/>
      <c r="C77" s="118"/>
      <c r="D77" s="118"/>
      <c r="E77" s="118"/>
      <c r="F77" s="118"/>
      <c r="G77" s="118"/>
      <c r="H77" s="118"/>
      <c r="I77" s="118"/>
    </row>
    <row r="78" spans="1:9" x14ac:dyDescent="0.25">
      <c r="A78" s="129" t="s">
        <v>1134</v>
      </c>
      <c r="B78" s="123"/>
      <c r="C78" s="118"/>
      <c r="D78" s="118"/>
      <c r="E78" s="118"/>
      <c r="F78" s="118"/>
      <c r="G78" s="118"/>
      <c r="H78" s="118"/>
      <c r="I78" s="118"/>
    </row>
    <row r="79" spans="1:9" x14ac:dyDescent="0.25">
      <c r="A79" s="27" t="s">
        <v>1152</v>
      </c>
      <c r="B79" s="155">
        <v>7000</v>
      </c>
      <c r="C79" s="118"/>
      <c r="D79" s="118"/>
      <c r="E79" s="118"/>
      <c r="F79" s="118"/>
      <c r="G79" s="118"/>
      <c r="H79" s="118"/>
      <c r="I79" s="118"/>
    </row>
    <row r="80" spans="1:9" x14ac:dyDescent="0.25">
      <c r="A80" s="120" t="s">
        <v>1153</v>
      </c>
      <c r="B80" s="166">
        <v>1000</v>
      </c>
      <c r="C80" s="118"/>
      <c r="D80" s="118" t="s">
        <v>1191</v>
      </c>
      <c r="E80" s="118"/>
      <c r="G80" s="118"/>
      <c r="H80" s="118"/>
      <c r="I80" s="118"/>
    </row>
    <row r="81" spans="1:9" x14ac:dyDescent="0.25">
      <c r="B81" s="123"/>
      <c r="C81" s="118"/>
      <c r="D81" s="118"/>
      <c r="E81" s="118"/>
      <c r="F81" s="118"/>
      <c r="G81" s="118"/>
      <c r="H81" s="118"/>
      <c r="I81" s="118"/>
    </row>
    <row r="82" spans="1:9" x14ac:dyDescent="0.25">
      <c r="A82" s="132"/>
      <c r="B82" s="123"/>
      <c r="C82" s="121"/>
      <c r="D82" s="121"/>
      <c r="E82" s="121"/>
      <c r="F82" s="121"/>
      <c r="G82" s="121"/>
      <c r="H82" s="121"/>
      <c r="I82" s="121"/>
    </row>
    <row r="83" spans="1:9" x14ac:dyDescent="0.25">
      <c r="A83" s="120"/>
      <c r="B83" s="124"/>
      <c r="C83" s="118"/>
      <c r="D83" s="118"/>
      <c r="E83" s="118"/>
      <c r="F83" s="118"/>
      <c r="G83" s="118"/>
      <c r="H83" s="118"/>
      <c r="I83" s="118"/>
    </row>
    <row r="84" spans="1:9" x14ac:dyDescent="0.25">
      <c r="A84" s="162" t="s">
        <v>1151</v>
      </c>
      <c r="B84" s="120"/>
      <c r="C84" s="118"/>
      <c r="D84" s="118"/>
      <c r="E84" s="118"/>
      <c r="F84" s="118"/>
      <c r="G84" s="118"/>
      <c r="H84" s="118"/>
      <c r="I84" s="118"/>
    </row>
    <row r="85" spans="1:9" x14ac:dyDescent="0.25">
      <c r="A85" s="120" t="s">
        <v>1239</v>
      </c>
      <c r="B85" s="165">
        <v>2500</v>
      </c>
      <c r="C85" s="118"/>
      <c r="D85" s="118"/>
      <c r="E85" s="118"/>
      <c r="F85" s="118"/>
      <c r="G85" s="118"/>
      <c r="H85" s="118"/>
      <c r="I85" s="118"/>
    </row>
    <row r="86" spans="1:9" x14ac:dyDescent="0.25">
      <c r="A86" s="119" t="s">
        <v>1253</v>
      </c>
      <c r="B86" s="122"/>
      <c r="C86" s="118"/>
      <c r="D86" s="118"/>
      <c r="E86" s="118"/>
      <c r="F86" s="118"/>
      <c r="G86" s="118"/>
      <c r="H86" s="118"/>
      <c r="I86" s="118"/>
    </row>
    <row r="87" spans="1:9" x14ac:dyDescent="0.25">
      <c r="A87" s="120" t="s">
        <v>1249</v>
      </c>
      <c r="B87" s="118" t="s">
        <v>1252</v>
      </c>
      <c r="C87" s="118"/>
      <c r="D87" s="118"/>
      <c r="E87" s="118"/>
      <c r="F87" s="118"/>
      <c r="G87" s="118"/>
      <c r="H87" s="118"/>
      <c r="I87" s="118"/>
    </row>
    <row r="88" spans="1:9" x14ac:dyDescent="0.25">
      <c r="A88" s="167" t="s">
        <v>1250</v>
      </c>
      <c r="B88" s="27" t="s">
        <v>1251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workbookViewId="0">
      <selection activeCell="D22" sqref="D22"/>
    </sheetView>
  </sheetViews>
  <sheetFormatPr defaultRowHeight="13.2" x14ac:dyDescent="0.25"/>
  <cols>
    <col min="1" max="1" width="18.33203125" customWidth="1"/>
    <col min="2" max="2" width="27.44140625" customWidth="1"/>
    <col min="3" max="3" width="8.6640625" customWidth="1"/>
    <col min="4" max="10" width="11.6640625" customWidth="1"/>
  </cols>
  <sheetData>
    <row r="1" spans="1:10" ht="15.6" x14ac:dyDescent="0.3">
      <c r="B1" s="14" t="s">
        <v>760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17">
        <v>2017</v>
      </c>
      <c r="J1" s="42">
        <v>2016</v>
      </c>
    </row>
    <row r="2" spans="1:10" x14ac:dyDescent="0.25"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 t="s">
        <v>807</v>
      </c>
      <c r="J2" s="42" t="s">
        <v>807</v>
      </c>
    </row>
    <row r="4" spans="1:10" x14ac:dyDescent="0.25">
      <c r="A4" s="27" t="s">
        <v>78</v>
      </c>
    </row>
    <row r="5" spans="1:10" x14ac:dyDescent="0.25">
      <c r="A5" s="27" t="s">
        <v>867</v>
      </c>
      <c r="B5" s="27" t="s">
        <v>869</v>
      </c>
      <c r="D5" s="10">
        <v>4500</v>
      </c>
      <c r="E5" s="10">
        <v>3465</v>
      </c>
      <c r="F5" s="10">
        <v>4500</v>
      </c>
      <c r="G5" s="10">
        <v>4761.8900000000003</v>
      </c>
      <c r="H5" s="10">
        <v>4500</v>
      </c>
      <c r="I5" s="10">
        <v>4283</v>
      </c>
      <c r="J5" s="10">
        <v>4529</v>
      </c>
    </row>
    <row r="6" spans="1:10" x14ac:dyDescent="0.25">
      <c r="A6" s="27" t="s">
        <v>868</v>
      </c>
      <c r="B6" s="27" t="s">
        <v>574</v>
      </c>
      <c r="D6" s="10">
        <v>500</v>
      </c>
      <c r="E6" s="10">
        <v>350</v>
      </c>
      <c r="F6" s="10">
        <v>500</v>
      </c>
      <c r="G6" s="10">
        <v>865</v>
      </c>
      <c r="H6" s="10">
        <v>500</v>
      </c>
      <c r="I6" s="10">
        <v>2767.07</v>
      </c>
      <c r="J6" s="10">
        <v>450</v>
      </c>
    </row>
    <row r="7" spans="1:10" x14ac:dyDescent="0.25">
      <c r="A7" s="27" t="s">
        <v>870</v>
      </c>
      <c r="B7" s="27" t="s">
        <v>871</v>
      </c>
      <c r="D7" s="10">
        <v>1000</v>
      </c>
      <c r="E7" s="10">
        <v>883</v>
      </c>
      <c r="F7" s="10">
        <v>1000</v>
      </c>
      <c r="G7" s="10">
        <v>800.84</v>
      </c>
      <c r="H7" s="10">
        <v>1000</v>
      </c>
      <c r="I7" s="10">
        <v>1198.5</v>
      </c>
      <c r="J7" s="10">
        <v>1162</v>
      </c>
    </row>
    <row r="8" spans="1:10" x14ac:dyDescent="0.25">
      <c r="A8" s="27"/>
      <c r="B8" s="27"/>
      <c r="D8" s="10"/>
      <c r="E8" s="10"/>
      <c r="F8" s="10"/>
      <c r="G8" s="10"/>
      <c r="H8" s="10"/>
      <c r="I8" s="10"/>
      <c r="J8" s="10"/>
    </row>
    <row r="9" spans="1:10" x14ac:dyDescent="0.25">
      <c r="A9" s="27"/>
      <c r="B9" s="27" t="s">
        <v>58</v>
      </c>
      <c r="D9" s="10">
        <f>SUM(D5:D8)</f>
        <v>6000</v>
      </c>
      <c r="E9" s="10">
        <f>SUM(E5:E7)</f>
        <v>4698</v>
      </c>
      <c r="F9" s="10">
        <f>SUM(F5:F7)</f>
        <v>6000</v>
      </c>
      <c r="G9" s="10">
        <f>SUM(G5:G8)</f>
        <v>6427.7300000000005</v>
      </c>
      <c r="H9" s="10">
        <f t="shared" ref="H9:J9" si="0">SUM(H5:H8)</f>
        <v>6000</v>
      </c>
      <c r="I9" s="10">
        <f t="shared" si="0"/>
        <v>8248.57</v>
      </c>
      <c r="J9" s="10">
        <f t="shared" si="0"/>
        <v>6141</v>
      </c>
    </row>
    <row r="10" spans="1:10" x14ac:dyDescent="0.25">
      <c r="D10" s="10"/>
      <c r="E10" s="10"/>
      <c r="F10" s="10"/>
      <c r="G10" s="10"/>
      <c r="H10" s="10"/>
      <c r="I10" s="10"/>
    </row>
    <row r="11" spans="1:10" x14ac:dyDescent="0.25">
      <c r="A11" t="s">
        <v>79</v>
      </c>
      <c r="D11" s="10"/>
      <c r="E11" s="10"/>
      <c r="F11" s="10"/>
      <c r="G11" s="10"/>
      <c r="H11" s="10"/>
      <c r="I11" s="10"/>
    </row>
    <row r="12" spans="1:10" x14ac:dyDescent="0.25">
      <c r="A12" t="s">
        <v>192</v>
      </c>
      <c r="D12" s="10"/>
      <c r="E12" s="10"/>
      <c r="F12" s="10"/>
      <c r="G12" s="10"/>
      <c r="H12" s="10"/>
      <c r="I12" s="10"/>
    </row>
    <row r="13" spans="1:10" x14ac:dyDescent="0.25">
      <c r="A13" t="s">
        <v>344</v>
      </c>
      <c r="B13" s="27" t="s">
        <v>1224</v>
      </c>
      <c r="D13" s="159">
        <v>10000</v>
      </c>
      <c r="E13" s="10">
        <v>8441.6</v>
      </c>
      <c r="F13" s="10">
        <v>1500</v>
      </c>
      <c r="G13" s="10">
        <v>1020</v>
      </c>
      <c r="H13" s="10">
        <v>3600</v>
      </c>
      <c r="I13" s="10">
        <v>3600</v>
      </c>
      <c r="J13" s="10">
        <v>3600</v>
      </c>
    </row>
    <row r="14" spans="1:10" x14ac:dyDescent="0.25">
      <c r="B14" t="s">
        <v>753</v>
      </c>
      <c r="D14" s="10">
        <v>0</v>
      </c>
      <c r="E14" s="10">
        <v>0</v>
      </c>
      <c r="F14" s="10">
        <v>9000</v>
      </c>
      <c r="G14" s="10">
        <v>9322.34</v>
      </c>
      <c r="H14" s="10">
        <v>4500</v>
      </c>
      <c r="I14" s="10">
        <v>7981.72</v>
      </c>
      <c r="J14" s="10">
        <v>5835.78</v>
      </c>
    </row>
    <row r="15" spans="1:10" x14ac:dyDescent="0.25">
      <c r="B15" s="27" t="s">
        <v>761</v>
      </c>
      <c r="D15" s="10">
        <v>0</v>
      </c>
      <c r="E15" s="10">
        <v>0</v>
      </c>
      <c r="F15" s="10">
        <v>500</v>
      </c>
      <c r="G15" s="10">
        <v>770</v>
      </c>
      <c r="H15" s="10">
        <v>500</v>
      </c>
      <c r="I15" s="10">
        <v>0</v>
      </c>
      <c r="J15" s="10">
        <v>0</v>
      </c>
    </row>
    <row r="16" spans="1:10" x14ac:dyDescent="0.25">
      <c r="A16" t="s">
        <v>188</v>
      </c>
      <c r="D16" s="10"/>
      <c r="E16" s="10"/>
      <c r="F16" s="10"/>
      <c r="G16" s="10"/>
      <c r="H16" s="10"/>
      <c r="I16" s="10"/>
      <c r="J16" s="10"/>
    </row>
    <row r="17" spans="1:11" x14ac:dyDescent="0.25">
      <c r="A17" t="s">
        <v>345</v>
      </c>
      <c r="B17" t="s">
        <v>82</v>
      </c>
      <c r="D17" s="159">
        <f>D13*0.062</f>
        <v>620</v>
      </c>
      <c r="E17" s="10">
        <v>523.38</v>
      </c>
      <c r="F17" s="10">
        <f>SUM(F13:F15)*0.062</f>
        <v>682</v>
      </c>
      <c r="G17" s="10">
        <v>690.83</v>
      </c>
      <c r="H17" s="10">
        <v>533</v>
      </c>
      <c r="I17" s="10">
        <v>716.22</v>
      </c>
      <c r="J17" s="10">
        <v>582.59</v>
      </c>
    </row>
    <row r="18" spans="1:11" x14ac:dyDescent="0.25">
      <c r="A18" t="s">
        <v>346</v>
      </c>
      <c r="B18" t="s">
        <v>84</v>
      </c>
      <c r="D18" s="159">
        <f>D13*0.0145</f>
        <v>145</v>
      </c>
      <c r="E18" s="10">
        <v>122.39</v>
      </c>
      <c r="F18" s="10">
        <f>SUM(F13:F15)*0.0145</f>
        <v>159.5</v>
      </c>
      <c r="G18" s="10">
        <v>161.58000000000001</v>
      </c>
      <c r="H18" s="10">
        <v>125</v>
      </c>
      <c r="I18" s="10">
        <v>167.58</v>
      </c>
      <c r="J18" s="10">
        <v>135.51</v>
      </c>
    </row>
    <row r="19" spans="1:11" x14ac:dyDescent="0.25">
      <c r="A19" t="s">
        <v>33</v>
      </c>
      <c r="D19" s="10"/>
      <c r="E19" s="10"/>
      <c r="F19" s="10"/>
      <c r="G19" s="10"/>
      <c r="H19" s="10"/>
      <c r="I19" s="10"/>
      <c r="J19" s="10"/>
    </row>
    <row r="20" spans="1:11" x14ac:dyDescent="0.25">
      <c r="A20" t="s">
        <v>347</v>
      </c>
      <c r="B20" t="s">
        <v>35</v>
      </c>
      <c r="D20" s="10">
        <v>0</v>
      </c>
      <c r="E20" s="10">
        <v>0</v>
      </c>
      <c r="F20" s="10">
        <v>0</v>
      </c>
      <c r="G20" s="10">
        <v>0</v>
      </c>
      <c r="H20" s="10">
        <v>200</v>
      </c>
      <c r="I20" s="10">
        <v>7.22</v>
      </c>
      <c r="J20" s="10">
        <v>0</v>
      </c>
    </row>
    <row r="21" spans="1:11" x14ac:dyDescent="0.25">
      <c r="A21" t="s">
        <v>149</v>
      </c>
      <c r="D21" s="10"/>
      <c r="E21" s="10"/>
      <c r="F21" s="10"/>
      <c r="G21" s="10"/>
      <c r="H21" s="10"/>
      <c r="I21" s="10"/>
      <c r="J21" s="10"/>
    </row>
    <row r="22" spans="1:11" x14ac:dyDescent="0.25">
      <c r="A22" t="s">
        <v>348</v>
      </c>
      <c r="B22" s="27" t="s">
        <v>762</v>
      </c>
      <c r="D22" s="10">
        <v>500</v>
      </c>
      <c r="E22" s="10">
        <v>538.58000000000004</v>
      </c>
      <c r="F22" s="10">
        <v>500</v>
      </c>
      <c r="G22" s="10">
        <v>542</v>
      </c>
      <c r="H22" s="10">
        <v>500</v>
      </c>
      <c r="I22" s="10">
        <v>598.30999999999995</v>
      </c>
      <c r="J22" s="10">
        <v>58.19</v>
      </c>
    </row>
    <row r="23" spans="1:11" x14ac:dyDescent="0.25">
      <c r="A23" t="s">
        <v>658</v>
      </c>
      <c r="B23" t="s">
        <v>659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204.58</v>
      </c>
      <c r="J23" s="10">
        <v>504.78</v>
      </c>
    </row>
    <row r="24" spans="1:11" x14ac:dyDescent="0.25">
      <c r="A24" s="13" t="s">
        <v>17</v>
      </c>
      <c r="D24" s="10"/>
      <c r="E24" s="10"/>
      <c r="F24" s="10"/>
      <c r="G24" s="10"/>
      <c r="H24" s="10"/>
      <c r="I24" s="10"/>
      <c r="J24" s="10"/>
      <c r="K24" s="10"/>
    </row>
    <row r="25" spans="1:11" x14ac:dyDescent="0.25">
      <c r="A25" s="13" t="s">
        <v>509</v>
      </c>
      <c r="B25" s="13" t="s">
        <v>542</v>
      </c>
      <c r="D25" s="10">
        <v>400</v>
      </c>
      <c r="E25" s="10">
        <v>336.33</v>
      </c>
      <c r="F25" s="10">
        <v>400</v>
      </c>
      <c r="G25" s="10">
        <v>308.01</v>
      </c>
      <c r="H25" s="10">
        <v>500</v>
      </c>
      <c r="I25" s="10">
        <v>296.92</v>
      </c>
      <c r="J25" s="10">
        <v>424.18</v>
      </c>
      <c r="K25" s="10"/>
    </row>
    <row r="26" spans="1:11" x14ac:dyDescent="0.25">
      <c r="A26" s="13" t="s">
        <v>510</v>
      </c>
      <c r="B26" s="13" t="s">
        <v>541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/>
    </row>
    <row r="27" spans="1:11" x14ac:dyDescent="0.25">
      <c r="A27" t="s">
        <v>136</v>
      </c>
      <c r="D27" s="10"/>
      <c r="E27" s="10"/>
      <c r="F27" s="10"/>
      <c r="G27" s="10"/>
      <c r="H27" s="10"/>
      <c r="I27" s="10"/>
      <c r="J27" s="10"/>
    </row>
    <row r="28" spans="1:11" x14ac:dyDescent="0.25">
      <c r="A28" t="s">
        <v>349</v>
      </c>
      <c r="B28" t="s">
        <v>137</v>
      </c>
      <c r="D28" s="10">
        <v>100</v>
      </c>
      <c r="E28" s="10">
        <v>0</v>
      </c>
      <c r="F28" s="10">
        <v>100</v>
      </c>
      <c r="G28" s="10">
        <v>0</v>
      </c>
      <c r="H28" s="10">
        <v>100</v>
      </c>
      <c r="I28" s="10">
        <v>0</v>
      </c>
      <c r="J28" s="10">
        <v>0</v>
      </c>
    </row>
    <row r="29" spans="1:11" x14ac:dyDescent="0.25">
      <c r="A29" t="s">
        <v>112</v>
      </c>
      <c r="D29" s="10"/>
      <c r="E29" s="10"/>
      <c r="F29" s="10"/>
      <c r="G29" s="10"/>
      <c r="H29" s="10"/>
      <c r="I29" s="10"/>
      <c r="J29" s="10"/>
    </row>
    <row r="30" spans="1:11" x14ac:dyDescent="0.25">
      <c r="A30" t="s">
        <v>350</v>
      </c>
      <c r="B30" s="27" t="s">
        <v>740</v>
      </c>
      <c r="D30" s="10">
        <v>0</v>
      </c>
      <c r="E30" s="10">
        <v>0</v>
      </c>
      <c r="F30" s="39">
        <v>0</v>
      </c>
      <c r="G30" s="10">
        <v>0</v>
      </c>
      <c r="H30" s="10">
        <v>2500</v>
      </c>
      <c r="I30" s="10">
        <v>0</v>
      </c>
      <c r="J30" s="10">
        <v>0</v>
      </c>
    </row>
    <row r="31" spans="1:11" x14ac:dyDescent="0.25">
      <c r="A31" t="s">
        <v>107</v>
      </c>
      <c r="D31" s="10"/>
      <c r="E31" s="10"/>
      <c r="F31" s="10"/>
      <c r="G31" s="10"/>
      <c r="H31" s="10"/>
      <c r="I31" s="10"/>
      <c r="J31" s="10"/>
    </row>
    <row r="32" spans="1:11" x14ac:dyDescent="0.25">
      <c r="A32" s="13" t="s">
        <v>544</v>
      </c>
      <c r="B32" s="13" t="s">
        <v>545</v>
      </c>
      <c r="D32" s="159">
        <v>100</v>
      </c>
      <c r="E32" s="10">
        <v>0</v>
      </c>
      <c r="F32" s="10">
        <v>200</v>
      </c>
      <c r="G32" s="10">
        <v>0</v>
      </c>
      <c r="H32" s="10">
        <v>200</v>
      </c>
      <c r="I32" s="10">
        <v>150</v>
      </c>
      <c r="J32" s="10">
        <v>0</v>
      </c>
    </row>
    <row r="33" spans="1:10" x14ac:dyDescent="0.25">
      <c r="A33" s="13" t="s">
        <v>543</v>
      </c>
      <c r="B33" s="27" t="s">
        <v>828</v>
      </c>
      <c r="D33" s="159">
        <v>1500</v>
      </c>
      <c r="E33" s="10">
        <v>1142.3599999999999</v>
      </c>
      <c r="F33" s="10">
        <v>2000</v>
      </c>
      <c r="G33" s="10">
        <v>1809.2</v>
      </c>
      <c r="H33" s="10">
        <v>2000</v>
      </c>
      <c r="I33" s="10">
        <v>630.17999999999995</v>
      </c>
      <c r="J33" s="10">
        <v>824.37</v>
      </c>
    </row>
    <row r="34" spans="1:10" x14ac:dyDescent="0.25">
      <c r="D34" s="10"/>
      <c r="E34" s="10"/>
      <c r="F34" s="10"/>
      <c r="G34" s="10"/>
      <c r="H34" s="10"/>
      <c r="I34" s="10"/>
      <c r="J34" s="10"/>
    </row>
    <row r="35" spans="1:10" x14ac:dyDescent="0.25">
      <c r="B35" s="25" t="s">
        <v>58</v>
      </c>
      <c r="D35" s="10">
        <f>SUM(D13:D33)</f>
        <v>13365</v>
      </c>
      <c r="E35" s="10">
        <f>SUM(E13:E33)</f>
        <v>11104.64</v>
      </c>
      <c r="F35" s="10">
        <f>SUM(F13:F33)</f>
        <v>15041.5</v>
      </c>
      <c r="G35" s="10">
        <f>SUM(G13:G33)</f>
        <v>14623.960000000001</v>
      </c>
      <c r="H35" s="10">
        <f>SUM(H13:H34)</f>
        <v>15258</v>
      </c>
      <c r="I35" s="10">
        <f>SUM(I13:I34)</f>
        <v>14352.73</v>
      </c>
      <c r="J35" s="10">
        <f>SUM(J13:J33)</f>
        <v>11965.400000000001</v>
      </c>
    </row>
    <row r="37" spans="1:10" x14ac:dyDescent="0.25">
      <c r="A37" s="13"/>
    </row>
  </sheetData>
  <phoneticPr fontId="2" type="noConversion"/>
  <pageMargins left="0.25" right="0.25" top="0.75" bottom="0.75" header="0.3" footer="0.3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F17" sqref="F17"/>
    </sheetView>
  </sheetViews>
  <sheetFormatPr defaultRowHeight="13.2" x14ac:dyDescent="0.25"/>
  <cols>
    <col min="1" max="1" width="17.6640625" customWidth="1"/>
    <col min="2" max="2" width="28.5546875" customWidth="1"/>
    <col min="3" max="3" width="5.6640625" customWidth="1"/>
    <col min="4" max="6" width="11.6640625" customWidth="1"/>
    <col min="7" max="7" width="11.88671875" customWidth="1"/>
    <col min="8" max="10" width="11.6640625" customWidth="1"/>
  </cols>
  <sheetData>
    <row r="1" spans="1:11" ht="15.6" x14ac:dyDescent="0.3">
      <c r="B1" s="14" t="s">
        <v>601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17">
        <v>2017</v>
      </c>
      <c r="J1" s="42">
        <v>2016</v>
      </c>
    </row>
    <row r="2" spans="1:11" x14ac:dyDescent="0.25"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 t="s">
        <v>807</v>
      </c>
      <c r="J2" s="42" t="s">
        <v>807</v>
      </c>
    </row>
    <row r="3" spans="1:11" x14ac:dyDescent="0.25">
      <c r="F3" s="27"/>
      <c r="H3" s="51"/>
    </row>
    <row r="5" spans="1:11" x14ac:dyDescent="0.25">
      <c r="A5" s="27" t="s">
        <v>79</v>
      </c>
      <c r="B5" s="13"/>
      <c r="J5" s="111"/>
    </row>
    <row r="6" spans="1:11" x14ac:dyDescent="0.25">
      <c r="A6" s="27" t="s">
        <v>593</v>
      </c>
      <c r="B6" s="27" t="s">
        <v>594</v>
      </c>
      <c r="D6" s="10">
        <v>300</v>
      </c>
      <c r="E6" s="10">
        <v>324</v>
      </c>
      <c r="F6" s="10">
        <v>300</v>
      </c>
      <c r="G6" s="10">
        <v>324</v>
      </c>
      <c r="H6" s="10">
        <v>300</v>
      </c>
      <c r="I6" s="10">
        <v>324</v>
      </c>
      <c r="J6" s="10">
        <v>300</v>
      </c>
    </row>
    <row r="7" spans="1:11" x14ac:dyDescent="0.25">
      <c r="D7" s="10"/>
      <c r="E7" s="10"/>
      <c r="F7" s="10"/>
      <c r="G7" s="10"/>
      <c r="H7" s="10"/>
      <c r="I7" s="10"/>
      <c r="J7" s="10"/>
    </row>
    <row r="8" spans="1:11" x14ac:dyDescent="0.25">
      <c r="B8" s="30" t="s">
        <v>58</v>
      </c>
      <c r="D8" s="10">
        <f>D6</f>
        <v>300</v>
      </c>
      <c r="E8" s="10">
        <f>E6</f>
        <v>324</v>
      </c>
      <c r="F8" s="10">
        <v>300</v>
      </c>
      <c r="G8" s="10">
        <v>324</v>
      </c>
      <c r="H8" s="10">
        <f t="shared" ref="H8" si="0">SUM(H3:H7)</f>
        <v>300</v>
      </c>
      <c r="I8" s="10">
        <f>SUM(I6:I7)</f>
        <v>324</v>
      </c>
      <c r="J8" s="112">
        <f>SUM(J5:J7)</f>
        <v>300</v>
      </c>
      <c r="K8" s="27"/>
    </row>
    <row r="46" spans="10:10" x14ac:dyDescent="0.25">
      <c r="J46" s="106"/>
    </row>
    <row r="52" spans="10:10" x14ac:dyDescent="0.25">
      <c r="J52" s="106"/>
    </row>
  </sheetData>
  <pageMargins left="0.25" right="0.25" top="0.75" bottom="0.75" header="0.3" footer="0.3"/>
  <pageSetup orientation="landscape" copies="6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topLeftCell="A34" workbookViewId="0">
      <selection activeCell="G62" sqref="G62"/>
    </sheetView>
  </sheetViews>
  <sheetFormatPr defaultRowHeight="13.2" x14ac:dyDescent="0.25"/>
  <cols>
    <col min="1" max="1" width="23.44140625" customWidth="1"/>
    <col min="2" max="2" width="27.5546875" customWidth="1"/>
    <col min="3" max="3" width="5.6640625" customWidth="1"/>
    <col min="4" max="9" width="11.6640625" customWidth="1"/>
  </cols>
  <sheetData>
    <row r="1" spans="1:10" ht="15.6" x14ac:dyDescent="0.3">
      <c r="B1" s="14" t="s">
        <v>813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42">
        <v>2017</v>
      </c>
    </row>
    <row r="2" spans="1:10" ht="15.6" x14ac:dyDescent="0.3">
      <c r="B2" s="14" t="s">
        <v>814</v>
      </c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 t="s">
        <v>807</v>
      </c>
    </row>
    <row r="3" spans="1:10" x14ac:dyDescent="0.25">
      <c r="A3" t="s">
        <v>78</v>
      </c>
    </row>
    <row r="4" spans="1:10" x14ac:dyDescent="0.25">
      <c r="A4" s="27" t="s">
        <v>1292</v>
      </c>
      <c r="B4" s="27" t="s">
        <v>686</v>
      </c>
      <c r="D4" s="10">
        <v>0</v>
      </c>
      <c r="E4" s="10">
        <v>14.42</v>
      </c>
      <c r="F4" s="10">
        <v>0</v>
      </c>
      <c r="G4" s="10">
        <v>0</v>
      </c>
      <c r="H4" s="10">
        <v>0</v>
      </c>
      <c r="I4" s="10">
        <v>0</v>
      </c>
    </row>
    <row r="5" spans="1:10" x14ac:dyDescent="0.25">
      <c r="A5" t="s">
        <v>38</v>
      </c>
      <c r="B5" t="s">
        <v>39</v>
      </c>
      <c r="D5" s="159">
        <v>7000</v>
      </c>
      <c r="E5" s="10">
        <v>7424.51</v>
      </c>
      <c r="F5" s="10">
        <v>5000</v>
      </c>
      <c r="G5" s="10">
        <v>5780.59</v>
      </c>
      <c r="H5" s="10">
        <v>5000</v>
      </c>
      <c r="I5" s="10">
        <v>7532.05</v>
      </c>
      <c r="J5" s="39"/>
    </row>
    <row r="6" spans="1:10" x14ac:dyDescent="0.25">
      <c r="A6" s="27" t="s">
        <v>1117</v>
      </c>
      <c r="B6" s="27" t="s">
        <v>1118</v>
      </c>
      <c r="D6" s="10">
        <v>0</v>
      </c>
      <c r="E6" s="10">
        <v>0</v>
      </c>
      <c r="F6" s="10">
        <v>0</v>
      </c>
      <c r="G6" s="10">
        <v>200</v>
      </c>
      <c r="H6" s="10">
        <v>0</v>
      </c>
      <c r="I6" s="10"/>
      <c r="J6" s="39"/>
    </row>
    <row r="7" spans="1:10" x14ac:dyDescent="0.25">
      <c r="A7" s="13" t="s">
        <v>566</v>
      </c>
      <c r="B7" s="13" t="s">
        <v>567</v>
      </c>
      <c r="D7" s="10">
        <v>100</v>
      </c>
      <c r="E7" s="10">
        <v>100</v>
      </c>
      <c r="F7" s="10">
        <v>0</v>
      </c>
      <c r="G7" s="10">
        <v>100</v>
      </c>
      <c r="H7" s="10">
        <v>0</v>
      </c>
      <c r="I7" s="10">
        <v>100</v>
      </c>
    </row>
    <row r="8" spans="1:10" x14ac:dyDescent="0.25">
      <c r="A8" s="27" t="s">
        <v>808</v>
      </c>
      <c r="B8" s="27" t="s">
        <v>809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10" x14ac:dyDescent="0.25">
      <c r="B9" t="s">
        <v>198</v>
      </c>
      <c r="D9" s="159">
        <v>23256</v>
      </c>
      <c r="E9" s="10">
        <v>38689.85</v>
      </c>
      <c r="F9" s="10">
        <v>36500</v>
      </c>
      <c r="G9" s="10">
        <v>24688.65</v>
      </c>
      <c r="H9" s="10">
        <v>30000</v>
      </c>
      <c r="I9" s="10">
        <v>65502.21</v>
      </c>
    </row>
    <row r="10" spans="1:10" x14ac:dyDescent="0.25">
      <c r="D10" s="10"/>
      <c r="E10" s="10"/>
      <c r="F10" s="10"/>
      <c r="G10" s="10"/>
      <c r="H10" s="10"/>
      <c r="I10" s="10"/>
    </row>
    <row r="11" spans="1:10" x14ac:dyDescent="0.25">
      <c r="B11" s="25" t="s">
        <v>58</v>
      </c>
      <c r="D11" s="10">
        <f>SUM(D5:D9)</f>
        <v>30356</v>
      </c>
      <c r="E11" s="10">
        <f>SUM(E5:E9)</f>
        <v>46214.36</v>
      </c>
      <c r="F11" s="10">
        <f>SUM(F5:F9)</f>
        <v>41500</v>
      </c>
      <c r="G11" s="10">
        <f>SUM(G5:G10)</f>
        <v>30769.24</v>
      </c>
      <c r="H11" s="10">
        <f>SUM(H5:H10)</f>
        <v>35000</v>
      </c>
      <c r="I11" s="10">
        <f>SUM(I5:I10)</f>
        <v>73134.259999999995</v>
      </c>
    </row>
    <row r="12" spans="1:10" x14ac:dyDescent="0.25">
      <c r="A12" t="s">
        <v>79</v>
      </c>
      <c r="D12" s="10"/>
      <c r="E12" s="10"/>
      <c r="F12" s="10"/>
      <c r="H12" s="10"/>
      <c r="I12" s="10"/>
    </row>
    <row r="13" spans="1:10" x14ac:dyDescent="0.25">
      <c r="A13" t="s">
        <v>192</v>
      </c>
      <c r="D13" s="10"/>
      <c r="E13" s="10"/>
      <c r="F13" s="10"/>
      <c r="H13" s="10"/>
      <c r="I13" s="10"/>
    </row>
    <row r="14" spans="1:10" x14ac:dyDescent="0.25">
      <c r="A14" t="s">
        <v>45</v>
      </c>
      <c r="B14" t="s">
        <v>47</v>
      </c>
      <c r="D14" s="10">
        <v>4000</v>
      </c>
      <c r="E14" s="10">
        <v>4600.6899999999996</v>
      </c>
      <c r="F14" s="10">
        <v>4000</v>
      </c>
      <c r="G14" s="10">
        <v>3861.37</v>
      </c>
      <c r="H14" s="10">
        <v>4500</v>
      </c>
      <c r="I14" s="10">
        <v>3924.43</v>
      </c>
    </row>
    <row r="15" spans="1:10" x14ac:dyDescent="0.25">
      <c r="A15" t="s">
        <v>188</v>
      </c>
      <c r="D15" s="10"/>
      <c r="E15" s="10"/>
      <c r="F15" s="10"/>
      <c r="G15" s="10"/>
      <c r="H15" s="10"/>
      <c r="I15" s="10"/>
    </row>
    <row r="16" spans="1:10" x14ac:dyDescent="0.25">
      <c r="A16" s="27" t="s">
        <v>810</v>
      </c>
      <c r="B16" s="27" t="s">
        <v>190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31.95</v>
      </c>
    </row>
    <row r="17" spans="1:9" x14ac:dyDescent="0.25">
      <c r="A17" t="s">
        <v>175</v>
      </c>
      <c r="B17" t="s">
        <v>82</v>
      </c>
      <c r="D17" s="10">
        <v>248</v>
      </c>
      <c r="E17" s="10">
        <v>285.22000000000003</v>
      </c>
      <c r="F17" s="10">
        <f>0.062*F14</f>
        <v>248</v>
      </c>
      <c r="G17" s="10">
        <v>237.7</v>
      </c>
      <c r="H17" s="10">
        <v>279</v>
      </c>
      <c r="I17" s="10">
        <v>242.87</v>
      </c>
    </row>
    <row r="18" spans="1:9" x14ac:dyDescent="0.25">
      <c r="A18" t="s">
        <v>176</v>
      </c>
      <c r="B18" t="s">
        <v>84</v>
      </c>
      <c r="D18" s="10">
        <v>58</v>
      </c>
      <c r="E18" s="10">
        <v>66.7</v>
      </c>
      <c r="F18" s="10">
        <f>0.0145*F14</f>
        <v>58</v>
      </c>
      <c r="G18" s="10">
        <v>55.74</v>
      </c>
      <c r="H18" s="10">
        <v>65</v>
      </c>
      <c r="I18" s="10">
        <v>56.8</v>
      </c>
    </row>
    <row r="19" spans="1:9" x14ac:dyDescent="0.25">
      <c r="A19" s="13" t="s">
        <v>552</v>
      </c>
      <c r="D19" s="10"/>
      <c r="E19" s="10"/>
      <c r="F19" s="10"/>
      <c r="G19" s="10"/>
      <c r="H19" s="10"/>
      <c r="I19" s="10"/>
    </row>
    <row r="20" spans="1:9" x14ac:dyDescent="0.25">
      <c r="A20" s="13" t="s">
        <v>548</v>
      </c>
      <c r="B20" s="13" t="s">
        <v>182</v>
      </c>
      <c r="D20" s="10">
        <v>100</v>
      </c>
      <c r="E20" s="10">
        <v>44</v>
      </c>
      <c r="F20" s="10">
        <v>100</v>
      </c>
      <c r="G20" s="10">
        <v>0</v>
      </c>
      <c r="H20" s="10">
        <v>200</v>
      </c>
      <c r="I20" s="10">
        <v>0</v>
      </c>
    </row>
    <row r="21" spans="1:9" x14ac:dyDescent="0.25">
      <c r="A21" t="s">
        <v>149</v>
      </c>
      <c r="D21" s="10"/>
      <c r="E21" s="10"/>
      <c r="F21" s="10"/>
      <c r="G21" s="10"/>
      <c r="H21" s="10"/>
      <c r="I21" s="10"/>
    </row>
    <row r="22" spans="1:9" x14ac:dyDescent="0.25">
      <c r="A22" t="s">
        <v>177</v>
      </c>
      <c r="B22" t="s">
        <v>151</v>
      </c>
      <c r="D22" s="10">
        <v>5000</v>
      </c>
      <c r="E22" s="10">
        <v>3314.12</v>
      </c>
      <c r="F22" s="10">
        <v>5000</v>
      </c>
      <c r="G22" s="10">
        <v>4326.6899999999996</v>
      </c>
      <c r="H22" s="10">
        <v>5000</v>
      </c>
      <c r="I22" s="10">
        <v>4607.3900000000003</v>
      </c>
    </row>
    <row r="23" spans="1:9" x14ac:dyDescent="0.25">
      <c r="A23" t="s">
        <v>65</v>
      </c>
      <c r="B23" t="s">
        <v>32</v>
      </c>
      <c r="D23" s="10">
        <v>500</v>
      </c>
      <c r="E23" s="10">
        <v>215</v>
      </c>
      <c r="F23" s="10">
        <v>500</v>
      </c>
      <c r="G23" s="10">
        <v>386</v>
      </c>
      <c r="H23" s="10">
        <v>500</v>
      </c>
      <c r="I23" s="10">
        <v>830.73</v>
      </c>
    </row>
    <row r="24" spans="1:9" x14ac:dyDescent="0.25">
      <c r="A24" t="s">
        <v>23</v>
      </c>
      <c r="D24" s="10"/>
      <c r="E24" s="10"/>
      <c r="F24" s="10"/>
      <c r="G24" s="10"/>
      <c r="H24" s="10"/>
      <c r="I24" s="10"/>
    </row>
    <row r="25" spans="1:9" x14ac:dyDescent="0.25">
      <c r="A25" t="s">
        <v>66</v>
      </c>
      <c r="B25" t="s">
        <v>141</v>
      </c>
      <c r="D25" s="10">
        <v>1000</v>
      </c>
      <c r="E25" s="10">
        <v>1067.44</v>
      </c>
      <c r="F25" s="10">
        <v>1000</v>
      </c>
      <c r="G25" s="10">
        <v>1077.93</v>
      </c>
      <c r="H25" s="10">
        <v>1000</v>
      </c>
      <c r="I25" s="10">
        <v>1375.32</v>
      </c>
    </row>
    <row r="26" spans="1:9" x14ac:dyDescent="0.25">
      <c r="A26" s="13" t="s">
        <v>549</v>
      </c>
      <c r="B26" s="13" t="s">
        <v>550</v>
      </c>
      <c r="D26" s="10">
        <v>300</v>
      </c>
      <c r="E26" s="10">
        <v>93.15</v>
      </c>
      <c r="F26" s="10">
        <v>300</v>
      </c>
      <c r="G26" s="10">
        <v>0</v>
      </c>
      <c r="H26" s="10">
        <v>300</v>
      </c>
      <c r="I26" s="10">
        <v>6</v>
      </c>
    </row>
    <row r="27" spans="1:9" x14ac:dyDescent="0.25">
      <c r="A27" s="27" t="s">
        <v>948</v>
      </c>
      <c r="B27" s="27" t="s">
        <v>949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500</v>
      </c>
    </row>
    <row r="28" spans="1:9" x14ac:dyDescent="0.25">
      <c r="A28" t="s">
        <v>6</v>
      </c>
      <c r="D28" s="10"/>
      <c r="E28" s="10"/>
      <c r="F28" s="10"/>
      <c r="G28" s="10"/>
      <c r="H28" s="10"/>
      <c r="I28" s="10"/>
    </row>
    <row r="29" spans="1:9" x14ac:dyDescent="0.25">
      <c r="A29" t="s">
        <v>67</v>
      </c>
      <c r="B29" s="27" t="s">
        <v>94</v>
      </c>
      <c r="D29" s="10">
        <v>3000</v>
      </c>
      <c r="E29" s="10">
        <v>4712</v>
      </c>
      <c r="F29" s="10">
        <v>3000</v>
      </c>
      <c r="G29" s="10">
        <v>4194.75</v>
      </c>
      <c r="H29" s="10">
        <v>3000</v>
      </c>
      <c r="I29" s="10">
        <v>5566.75</v>
      </c>
    </row>
    <row r="30" spans="1:9" x14ac:dyDescent="0.25">
      <c r="A30" t="s">
        <v>5</v>
      </c>
      <c r="D30" s="10"/>
      <c r="E30" s="10"/>
      <c r="F30" s="10"/>
      <c r="G30" s="10"/>
      <c r="H30" s="10"/>
      <c r="I30" s="10"/>
    </row>
    <row r="31" spans="1:9" x14ac:dyDescent="0.25">
      <c r="A31" s="13" t="s">
        <v>551</v>
      </c>
      <c r="B31" t="s">
        <v>89</v>
      </c>
      <c r="D31" s="10">
        <v>700</v>
      </c>
      <c r="E31" s="10">
        <v>846.1</v>
      </c>
      <c r="F31" s="10">
        <v>700</v>
      </c>
      <c r="G31" s="10">
        <v>994.58</v>
      </c>
      <c r="H31" s="10">
        <v>700</v>
      </c>
      <c r="I31" s="10">
        <v>1085.77</v>
      </c>
    </row>
    <row r="32" spans="1:9" x14ac:dyDescent="0.25">
      <c r="A32" t="s">
        <v>128</v>
      </c>
      <c r="D32" s="10"/>
      <c r="E32" s="10"/>
      <c r="F32" s="10"/>
      <c r="G32" s="10"/>
      <c r="H32" s="10"/>
      <c r="I32" s="10"/>
    </row>
    <row r="33" spans="1:11" x14ac:dyDescent="0.25">
      <c r="A33" t="s">
        <v>68</v>
      </c>
      <c r="B33" t="s">
        <v>86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</row>
    <row r="34" spans="1:11" x14ac:dyDescent="0.25">
      <c r="A34" t="s">
        <v>69</v>
      </c>
      <c r="B34" t="s">
        <v>130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5" spans="1:11" x14ac:dyDescent="0.25">
      <c r="A35" t="s">
        <v>121</v>
      </c>
      <c r="D35" s="10"/>
      <c r="E35" s="10"/>
      <c r="F35" s="10"/>
      <c r="G35" s="10"/>
      <c r="H35" s="10"/>
      <c r="I35" s="10"/>
    </row>
    <row r="36" spans="1:11" x14ac:dyDescent="0.25">
      <c r="A36" t="s">
        <v>70</v>
      </c>
      <c r="B36" t="s">
        <v>122</v>
      </c>
      <c r="D36" s="10">
        <v>5000</v>
      </c>
      <c r="E36" s="10">
        <v>3795.47</v>
      </c>
      <c r="F36" s="10">
        <v>5000</v>
      </c>
      <c r="G36" s="10">
        <v>5725.91</v>
      </c>
      <c r="H36" s="10">
        <v>5000</v>
      </c>
      <c r="I36" s="10">
        <v>5845.96</v>
      </c>
    </row>
    <row r="37" spans="1:11" x14ac:dyDescent="0.25">
      <c r="A37" t="s">
        <v>71</v>
      </c>
      <c r="B37" t="s">
        <v>123</v>
      </c>
      <c r="D37" s="10">
        <v>400</v>
      </c>
      <c r="E37" s="10">
        <v>237.6</v>
      </c>
      <c r="F37" s="10">
        <v>400</v>
      </c>
      <c r="G37" s="10">
        <v>318.55</v>
      </c>
      <c r="H37" s="10">
        <v>400</v>
      </c>
      <c r="I37" s="10">
        <v>450.51</v>
      </c>
      <c r="K37" s="27"/>
    </row>
    <row r="38" spans="1:11" x14ac:dyDescent="0.25">
      <c r="A38" t="s">
        <v>72</v>
      </c>
      <c r="B38" t="s">
        <v>124</v>
      </c>
      <c r="D38" s="10">
        <v>2500</v>
      </c>
      <c r="E38" s="10">
        <v>1731.66</v>
      </c>
      <c r="F38" s="10">
        <v>2500</v>
      </c>
      <c r="G38" s="10">
        <v>2535.36</v>
      </c>
      <c r="H38" s="10">
        <v>2500</v>
      </c>
      <c r="I38" s="10">
        <v>1911.74</v>
      </c>
    </row>
    <row r="39" spans="1:11" x14ac:dyDescent="0.25">
      <c r="A39" t="s">
        <v>73</v>
      </c>
      <c r="B39" t="s">
        <v>125</v>
      </c>
      <c r="D39" s="10">
        <v>2900</v>
      </c>
      <c r="E39" s="10">
        <v>2247.08</v>
      </c>
      <c r="F39" s="10">
        <v>2900</v>
      </c>
      <c r="G39" s="10">
        <v>2451.06</v>
      </c>
      <c r="H39" s="10">
        <v>2900</v>
      </c>
      <c r="I39" s="10">
        <v>2939.64</v>
      </c>
    </row>
    <row r="40" spans="1:11" x14ac:dyDescent="0.25">
      <c r="A40" t="s">
        <v>74</v>
      </c>
      <c r="B40" t="s">
        <v>126</v>
      </c>
      <c r="D40" s="10">
        <v>400</v>
      </c>
      <c r="E40" s="10">
        <v>251.93</v>
      </c>
      <c r="F40" s="10">
        <v>400</v>
      </c>
      <c r="G40" s="10">
        <v>363.37</v>
      </c>
      <c r="H40" s="10">
        <v>400</v>
      </c>
      <c r="I40" s="10">
        <v>496.85</v>
      </c>
    </row>
    <row r="41" spans="1:11" x14ac:dyDescent="0.25">
      <c r="A41" t="s">
        <v>855</v>
      </c>
      <c r="D41" s="10"/>
      <c r="E41" s="10"/>
      <c r="F41" s="10"/>
      <c r="G41" s="10"/>
      <c r="H41" s="10"/>
      <c r="I41" s="10"/>
    </row>
    <row r="42" spans="1:11" x14ac:dyDescent="0.25">
      <c r="A42" t="s">
        <v>856</v>
      </c>
      <c r="B42" t="s">
        <v>705</v>
      </c>
      <c r="D42" s="10">
        <v>250</v>
      </c>
      <c r="E42" s="10">
        <v>438</v>
      </c>
      <c r="F42" s="10">
        <v>250</v>
      </c>
      <c r="G42" s="10">
        <v>235</v>
      </c>
      <c r="H42" s="10">
        <v>250</v>
      </c>
      <c r="I42" s="10">
        <v>257</v>
      </c>
    </row>
    <row r="43" spans="1:11" x14ac:dyDescent="0.25">
      <c r="A43" t="s">
        <v>495</v>
      </c>
      <c r="D43" s="10"/>
      <c r="E43" s="10"/>
      <c r="F43" s="10"/>
      <c r="G43" s="10"/>
      <c r="H43" s="10"/>
      <c r="I43" s="10"/>
    </row>
    <row r="44" spans="1:11" x14ac:dyDescent="0.25">
      <c r="A44" t="s">
        <v>646</v>
      </c>
      <c r="B44" t="s">
        <v>632</v>
      </c>
      <c r="D44" s="10">
        <v>1000</v>
      </c>
      <c r="E44" s="10">
        <v>9377.06</v>
      </c>
      <c r="F44" s="10">
        <v>8000</v>
      </c>
      <c r="G44" s="10">
        <v>4252</v>
      </c>
      <c r="H44" s="10">
        <v>6000</v>
      </c>
      <c r="I44" s="10">
        <v>369.99</v>
      </c>
    </row>
    <row r="45" spans="1:11" x14ac:dyDescent="0.25">
      <c r="A45" t="s">
        <v>116</v>
      </c>
      <c r="D45" s="10"/>
      <c r="E45" s="10"/>
      <c r="F45" s="10"/>
      <c r="G45" s="10"/>
      <c r="H45" s="10"/>
      <c r="I45" s="10"/>
    </row>
    <row r="46" spans="1:11" x14ac:dyDescent="0.25">
      <c r="A46" t="s">
        <v>75</v>
      </c>
      <c r="B46" s="27" t="s">
        <v>893</v>
      </c>
      <c r="D46" s="10">
        <v>2000</v>
      </c>
      <c r="E46" s="10">
        <v>13316.63</v>
      </c>
      <c r="F46" s="159">
        <v>6000</v>
      </c>
      <c r="G46" s="10">
        <v>0</v>
      </c>
      <c r="H46" s="10">
        <v>4000</v>
      </c>
      <c r="I46" s="10">
        <v>42652.6</v>
      </c>
    </row>
    <row r="47" spans="1:11" x14ac:dyDescent="0.25">
      <c r="A47" t="s">
        <v>76</v>
      </c>
      <c r="B47" t="s">
        <v>118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1:11" x14ac:dyDescent="0.25">
      <c r="A48" t="s">
        <v>77</v>
      </c>
      <c r="B48" t="s">
        <v>119</v>
      </c>
      <c r="D48" s="10">
        <v>1000</v>
      </c>
      <c r="E48" s="10">
        <v>460</v>
      </c>
      <c r="F48" s="10">
        <v>1000</v>
      </c>
      <c r="G48" s="10">
        <v>0</v>
      </c>
      <c r="H48" s="10">
        <v>2000</v>
      </c>
      <c r="I48" s="10">
        <v>0</v>
      </c>
    </row>
    <row r="49" spans="1:11" x14ac:dyDescent="0.25">
      <c r="A49" s="27" t="s">
        <v>714</v>
      </c>
      <c r="B49" s="27" t="s">
        <v>715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</row>
    <row r="50" spans="1:11" x14ac:dyDescent="0.25">
      <c r="D50" s="10"/>
      <c r="E50" s="10"/>
      <c r="F50" s="10"/>
      <c r="G50" s="10"/>
      <c r="H50" s="10"/>
      <c r="I50" s="10"/>
      <c r="K50" s="27"/>
    </row>
    <row r="51" spans="1:11" x14ac:dyDescent="0.25">
      <c r="A51" s="33"/>
      <c r="B51" s="25" t="s">
        <v>58</v>
      </c>
      <c r="D51" s="10">
        <f>SUM(D14:D49)</f>
        <v>30356</v>
      </c>
      <c r="E51" s="10">
        <f>SUM(E14:E49)</f>
        <v>47099.849999999991</v>
      </c>
      <c r="F51" s="10">
        <f>SUM(F14:F49)</f>
        <v>41356</v>
      </c>
      <c r="G51" s="10">
        <f>SUM(G14:G49)</f>
        <v>31016.01</v>
      </c>
      <c r="H51" s="10">
        <f>SUM(H14:H50)</f>
        <v>38994</v>
      </c>
      <c r="I51" s="10">
        <f>SUM(I14:I50)</f>
        <v>73152.299999999988</v>
      </c>
    </row>
    <row r="52" spans="1:11" x14ac:dyDescent="0.25">
      <c r="A52" s="40"/>
    </row>
    <row r="53" spans="1:11" x14ac:dyDescent="0.25">
      <c r="A53" s="33"/>
    </row>
    <row r="54" spans="1:11" x14ac:dyDescent="0.25">
      <c r="A54" s="156" t="s">
        <v>1073</v>
      </c>
    </row>
    <row r="55" spans="1:11" x14ac:dyDescent="0.25">
      <c r="A55" s="27" t="s">
        <v>1154</v>
      </c>
      <c r="B55" s="10">
        <v>4000</v>
      </c>
    </row>
    <row r="56" spans="1:11" x14ac:dyDescent="0.25">
      <c r="A56" s="27" t="s">
        <v>1156</v>
      </c>
      <c r="B56" s="57">
        <v>2000</v>
      </c>
    </row>
    <row r="57" spans="1:11" x14ac:dyDescent="0.25">
      <c r="A57" s="27" t="s">
        <v>1155</v>
      </c>
      <c r="B57" s="10">
        <v>4000</v>
      </c>
    </row>
    <row r="59" spans="1:11" x14ac:dyDescent="0.25">
      <c r="A59" s="129" t="s">
        <v>1134</v>
      </c>
    </row>
    <row r="60" spans="1:11" x14ac:dyDescent="0.25">
      <c r="A60" s="27" t="s">
        <v>1173</v>
      </c>
      <c r="B60" s="10">
        <v>8000</v>
      </c>
    </row>
    <row r="61" spans="1:11" x14ac:dyDescent="0.25">
      <c r="A61" s="27" t="s">
        <v>1197</v>
      </c>
      <c r="B61" s="10">
        <v>6000</v>
      </c>
    </row>
    <row r="63" spans="1:11" x14ac:dyDescent="0.25">
      <c r="A63" s="129" t="s">
        <v>1151</v>
      </c>
    </row>
    <row r="64" spans="1:11" x14ac:dyDescent="0.25">
      <c r="A64" s="27" t="s">
        <v>1225</v>
      </c>
      <c r="B64" s="10">
        <v>2000</v>
      </c>
    </row>
    <row r="65" spans="1:2" x14ac:dyDescent="0.25">
      <c r="A65" s="27" t="s">
        <v>1267</v>
      </c>
      <c r="B65" s="27" t="s">
        <v>1268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J1" sqref="J1:L1048576"/>
    </sheetView>
  </sheetViews>
  <sheetFormatPr defaultRowHeight="13.2" x14ac:dyDescent="0.25"/>
  <cols>
    <col min="1" max="1" width="16.33203125" customWidth="1"/>
    <col min="2" max="2" width="24.109375" customWidth="1"/>
    <col min="3" max="9" width="11.6640625" customWidth="1"/>
  </cols>
  <sheetData>
    <row r="1" spans="1:9" ht="15.6" x14ac:dyDescent="0.3">
      <c r="B1" s="14" t="s">
        <v>750</v>
      </c>
      <c r="C1" s="1">
        <v>2020</v>
      </c>
      <c r="D1" s="1">
        <v>2019</v>
      </c>
      <c r="E1" s="42">
        <v>2019</v>
      </c>
      <c r="F1" s="42">
        <v>2018</v>
      </c>
      <c r="G1" s="42">
        <v>2018</v>
      </c>
      <c r="H1" s="42">
        <v>2017</v>
      </c>
      <c r="I1" s="42">
        <v>2017</v>
      </c>
    </row>
    <row r="2" spans="1:9" ht="15.6" x14ac:dyDescent="0.3">
      <c r="B2" s="14" t="s">
        <v>811</v>
      </c>
      <c r="C2" s="1" t="s">
        <v>506</v>
      </c>
      <c r="D2" s="1" t="s">
        <v>1206</v>
      </c>
      <c r="E2" s="42" t="s">
        <v>506</v>
      </c>
      <c r="F2" s="42" t="s">
        <v>807</v>
      </c>
      <c r="G2" s="42" t="s">
        <v>506</v>
      </c>
      <c r="H2" s="42" t="s">
        <v>807</v>
      </c>
      <c r="I2" s="42" t="s">
        <v>506</v>
      </c>
    </row>
    <row r="3" spans="1:9" x14ac:dyDescent="0.25">
      <c r="B3" s="30"/>
      <c r="C3" s="30"/>
      <c r="D3" s="30"/>
      <c r="E3" s="30"/>
      <c r="F3" s="30"/>
      <c r="G3" s="30"/>
      <c r="H3" s="30"/>
    </row>
    <row r="4" spans="1:9" x14ac:dyDescent="0.25">
      <c r="A4" t="s">
        <v>79</v>
      </c>
    </row>
    <row r="5" spans="1:9" x14ac:dyDescent="0.25">
      <c r="A5" s="27" t="s">
        <v>751</v>
      </c>
      <c r="B5" s="27" t="s">
        <v>581</v>
      </c>
      <c r="C5" s="57">
        <v>75000</v>
      </c>
      <c r="D5" s="57">
        <v>58500</v>
      </c>
      <c r="E5" s="57">
        <v>58500</v>
      </c>
      <c r="F5" s="57">
        <v>53500</v>
      </c>
      <c r="G5" s="57">
        <v>53500</v>
      </c>
      <c r="H5" s="57">
        <v>42000</v>
      </c>
      <c r="I5" s="10">
        <v>42000</v>
      </c>
    </row>
    <row r="6" spans="1:9" x14ac:dyDescent="0.25">
      <c r="A6" s="27"/>
      <c r="C6" s="10"/>
      <c r="D6" s="10"/>
      <c r="E6" s="10"/>
      <c r="F6" s="10"/>
      <c r="G6" s="10"/>
      <c r="H6" s="10"/>
      <c r="I6" s="10"/>
    </row>
    <row r="7" spans="1:9" x14ac:dyDescent="0.25">
      <c r="B7" t="s">
        <v>748</v>
      </c>
      <c r="C7" s="10">
        <f>C5</f>
        <v>75000</v>
      </c>
      <c r="D7" s="10">
        <v>58500</v>
      </c>
      <c r="E7" s="10">
        <f>E5</f>
        <v>58500</v>
      </c>
      <c r="F7" s="10">
        <v>53500</v>
      </c>
      <c r="G7" s="10">
        <f>G5</f>
        <v>53500</v>
      </c>
      <c r="H7" s="10">
        <f>SUM(H5:H6)</f>
        <v>42000</v>
      </c>
      <c r="I7" s="10">
        <f>SUM(I5:I6)</f>
        <v>42000</v>
      </c>
    </row>
    <row r="8" spans="1:9" x14ac:dyDescent="0.25">
      <c r="I8" s="10"/>
    </row>
    <row r="11" spans="1:9" x14ac:dyDescent="0.25">
      <c r="A11" s="161" t="s">
        <v>1207</v>
      </c>
    </row>
    <row r="12" spans="1:9" x14ac:dyDescent="0.25">
      <c r="A12" t="s">
        <v>1240</v>
      </c>
      <c r="B12" s="28"/>
      <c r="C12" s="28"/>
      <c r="D12" s="28"/>
      <c r="E12" s="28"/>
      <c r="F12" s="2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1"/>
  <sheetViews>
    <sheetView topLeftCell="A13" zoomScaleNormal="100" workbookViewId="0">
      <selection activeCell="E53" sqref="E53"/>
    </sheetView>
  </sheetViews>
  <sheetFormatPr defaultRowHeight="13.2" x14ac:dyDescent="0.25"/>
  <cols>
    <col min="1" max="1" width="39.33203125" customWidth="1"/>
    <col min="3" max="9" width="11.6640625" customWidth="1"/>
  </cols>
  <sheetData>
    <row r="1" spans="1:9" ht="15.6" x14ac:dyDescent="0.3">
      <c r="A1" s="14" t="s">
        <v>483</v>
      </c>
      <c r="C1" s="1">
        <v>2020</v>
      </c>
      <c r="D1" s="1">
        <v>2019</v>
      </c>
      <c r="E1" s="42">
        <v>2019</v>
      </c>
      <c r="F1" s="42">
        <v>2018</v>
      </c>
      <c r="G1" s="42">
        <v>2018</v>
      </c>
      <c r="H1" s="17">
        <v>2017</v>
      </c>
      <c r="I1" s="42">
        <v>2016</v>
      </c>
    </row>
    <row r="2" spans="1:9" x14ac:dyDescent="0.25">
      <c r="C2" s="1" t="s">
        <v>506</v>
      </c>
      <c r="D2" s="1" t="s">
        <v>1206</v>
      </c>
      <c r="E2" s="42" t="s">
        <v>506</v>
      </c>
      <c r="F2" s="42" t="s">
        <v>807</v>
      </c>
      <c r="G2" s="42" t="s">
        <v>506</v>
      </c>
      <c r="H2" s="42" t="s">
        <v>807</v>
      </c>
      <c r="I2" s="42" t="s">
        <v>807</v>
      </c>
    </row>
    <row r="3" spans="1:9" x14ac:dyDescent="0.25">
      <c r="A3" t="s">
        <v>467</v>
      </c>
      <c r="B3">
        <v>30100</v>
      </c>
      <c r="C3" s="10">
        <f>'BUDGET SUMMARY'!A6</f>
        <v>383725</v>
      </c>
      <c r="D3" s="10">
        <v>266076.09999999998</v>
      </c>
      <c r="E3" s="10">
        <v>379080</v>
      </c>
      <c r="F3" s="10">
        <v>0</v>
      </c>
      <c r="G3" s="10">
        <v>388565</v>
      </c>
      <c r="H3" s="10">
        <v>497323.56</v>
      </c>
      <c r="I3" s="10">
        <v>258323.23</v>
      </c>
    </row>
    <row r="4" spans="1:9" x14ac:dyDescent="0.25">
      <c r="A4" s="27" t="s">
        <v>204</v>
      </c>
      <c r="C4" s="10">
        <v>4300</v>
      </c>
      <c r="D4" s="10">
        <v>3183.11</v>
      </c>
      <c r="E4" s="10">
        <v>7000</v>
      </c>
      <c r="F4" s="10">
        <f t="shared" ref="F4:F5" si="0">SUM(B4)</f>
        <v>0</v>
      </c>
      <c r="G4" s="10">
        <v>9500</v>
      </c>
      <c r="H4" s="10">
        <v>0</v>
      </c>
      <c r="I4" s="10">
        <v>0</v>
      </c>
    </row>
    <row r="5" spans="1:9" x14ac:dyDescent="0.25">
      <c r="B5" s="106" t="s">
        <v>748</v>
      </c>
      <c r="C5" s="111">
        <f>SUM(C3:C4)</f>
        <v>388025</v>
      </c>
      <c r="D5" s="111">
        <f>SUM(D3:D4)</f>
        <v>269259.20999999996</v>
      </c>
      <c r="E5" s="111">
        <f>SUM(E3:E4)</f>
        <v>386080</v>
      </c>
      <c r="F5" s="111">
        <f t="shared" si="0"/>
        <v>0</v>
      </c>
      <c r="G5" s="111">
        <f>SUM(G3:G4)</f>
        <v>398065</v>
      </c>
      <c r="H5" s="111">
        <f>SUM(H3:H4)</f>
        <v>497323.56</v>
      </c>
      <c r="I5" s="111">
        <f ca="1">SUM(I3:I5)</f>
        <v>258323.23</v>
      </c>
    </row>
    <row r="6" spans="1:9" x14ac:dyDescent="0.25">
      <c r="B6" s="106"/>
      <c r="C6" s="111"/>
      <c r="D6" s="111"/>
      <c r="E6" s="111"/>
      <c r="F6" s="106"/>
      <c r="G6" s="111"/>
      <c r="H6" s="111"/>
    </row>
    <row r="7" spans="1:9" x14ac:dyDescent="0.25">
      <c r="C7" s="10"/>
      <c r="D7" s="10"/>
      <c r="E7" s="10"/>
      <c r="G7" s="10"/>
      <c r="H7" s="10"/>
      <c r="I7" s="10"/>
    </row>
    <row r="8" spans="1:9" x14ac:dyDescent="0.25">
      <c r="A8" t="s">
        <v>468</v>
      </c>
      <c r="B8">
        <v>30102</v>
      </c>
      <c r="C8" s="10">
        <v>449224</v>
      </c>
      <c r="D8" s="10">
        <v>215228.5</v>
      </c>
      <c r="E8" s="10">
        <v>430457</v>
      </c>
      <c r="F8" s="10">
        <v>214858</v>
      </c>
      <c r="G8" s="10">
        <v>429716</v>
      </c>
      <c r="H8" s="10">
        <v>419173</v>
      </c>
      <c r="I8" s="10">
        <v>209195</v>
      </c>
    </row>
    <row r="9" spans="1:9" x14ac:dyDescent="0.25">
      <c r="B9" s="106" t="s">
        <v>748</v>
      </c>
      <c r="C9" s="111">
        <f>SUM(C8)</f>
        <v>449224</v>
      </c>
      <c r="D9" s="111">
        <f>SUM(D8)</f>
        <v>215228.5</v>
      </c>
      <c r="E9" s="111">
        <f>SUM(E8)</f>
        <v>430457</v>
      </c>
      <c r="F9" s="111">
        <f t="shared" ref="F9" si="1">SUM(B9)</f>
        <v>0</v>
      </c>
      <c r="G9" s="111">
        <f>SUM(G8)</f>
        <v>429716</v>
      </c>
      <c r="H9" s="111">
        <f>SUM(H8)</f>
        <v>419173</v>
      </c>
      <c r="I9" s="93">
        <f ca="1">SUM(I8:I9)</f>
        <v>209195</v>
      </c>
    </row>
    <row r="10" spans="1:9" x14ac:dyDescent="0.25">
      <c r="C10" s="10"/>
      <c r="D10" s="10"/>
      <c r="E10" s="10"/>
      <c r="G10" s="10"/>
      <c r="H10" s="10"/>
    </row>
    <row r="11" spans="1:9" x14ac:dyDescent="0.25">
      <c r="C11" s="10"/>
      <c r="D11" s="10"/>
      <c r="E11" s="10"/>
      <c r="G11" s="10"/>
      <c r="H11" s="10"/>
      <c r="I11" s="10"/>
    </row>
    <row r="12" spans="1:9" x14ac:dyDescent="0.25">
      <c r="A12" t="s">
        <v>578</v>
      </c>
      <c r="B12">
        <v>30302</v>
      </c>
      <c r="C12" s="10">
        <v>0</v>
      </c>
      <c r="D12" s="10">
        <v>0</v>
      </c>
      <c r="E12" s="57">
        <v>12500</v>
      </c>
      <c r="F12" s="10">
        <v>0</v>
      </c>
      <c r="G12" s="10">
        <v>12500</v>
      </c>
      <c r="H12" s="10">
        <v>12500</v>
      </c>
      <c r="I12" s="10">
        <f>15954.01+12500</f>
        <v>28454.010000000002</v>
      </c>
    </row>
    <row r="13" spans="1:9" x14ac:dyDescent="0.25">
      <c r="A13" t="s">
        <v>664</v>
      </c>
      <c r="B13">
        <v>30500</v>
      </c>
      <c r="C13" s="10">
        <v>0</v>
      </c>
      <c r="D13" s="10">
        <v>116.67</v>
      </c>
      <c r="E13" s="57">
        <v>0</v>
      </c>
      <c r="F13" s="10">
        <v>0</v>
      </c>
      <c r="G13" s="10">
        <v>0</v>
      </c>
      <c r="H13" s="10">
        <v>212.08</v>
      </c>
      <c r="I13" s="10">
        <v>109.71</v>
      </c>
    </row>
    <row r="14" spans="1:9" x14ac:dyDescent="0.25">
      <c r="A14" s="13" t="s">
        <v>559</v>
      </c>
      <c r="B14">
        <v>30913</v>
      </c>
      <c r="C14" s="10">
        <v>1290</v>
      </c>
      <c r="D14" s="10">
        <v>645</v>
      </c>
      <c r="E14" s="57">
        <v>1290</v>
      </c>
      <c r="F14" s="10">
        <v>645</v>
      </c>
      <c r="G14" s="10">
        <v>1290</v>
      </c>
      <c r="H14" s="10">
        <v>1290</v>
      </c>
      <c r="I14" s="10">
        <v>645</v>
      </c>
    </row>
    <row r="15" spans="1:9" x14ac:dyDescent="0.25">
      <c r="A15" s="27" t="s">
        <v>665</v>
      </c>
      <c r="B15">
        <v>31005</v>
      </c>
      <c r="C15" s="10">
        <v>0</v>
      </c>
      <c r="D15" s="10">
        <v>0</v>
      </c>
      <c r="E15" s="57">
        <v>0</v>
      </c>
      <c r="F15" s="10">
        <v>0</v>
      </c>
      <c r="G15" s="10">
        <v>0</v>
      </c>
      <c r="H15" s="10">
        <v>0</v>
      </c>
      <c r="I15" s="10">
        <v>240.46</v>
      </c>
    </row>
    <row r="16" spans="1:9" x14ac:dyDescent="0.25">
      <c r="A16" t="s">
        <v>469</v>
      </c>
      <c r="B16">
        <v>31400</v>
      </c>
      <c r="C16" s="159">
        <v>2800</v>
      </c>
      <c r="D16" s="10">
        <v>520</v>
      </c>
      <c r="E16" s="57">
        <v>1800</v>
      </c>
      <c r="F16" s="10">
        <v>40</v>
      </c>
      <c r="G16" s="10">
        <v>1800</v>
      </c>
      <c r="H16" s="10">
        <v>2170</v>
      </c>
      <c r="I16" s="10">
        <v>1300</v>
      </c>
    </row>
    <row r="17" spans="1:11" x14ac:dyDescent="0.25">
      <c r="A17" t="s">
        <v>666</v>
      </c>
      <c r="B17">
        <v>31500</v>
      </c>
      <c r="C17" s="10">
        <v>300</v>
      </c>
      <c r="D17" s="10">
        <v>0</v>
      </c>
      <c r="E17" s="57">
        <v>300</v>
      </c>
      <c r="F17" s="10">
        <v>0</v>
      </c>
      <c r="G17" s="10">
        <v>600</v>
      </c>
      <c r="H17" s="10">
        <v>300</v>
      </c>
      <c r="I17" s="10">
        <v>0</v>
      </c>
    </row>
    <row r="18" spans="1:11" x14ac:dyDescent="0.25">
      <c r="A18" t="s">
        <v>470</v>
      </c>
      <c r="B18">
        <v>31600</v>
      </c>
      <c r="C18" s="159">
        <v>2000</v>
      </c>
      <c r="D18" s="10">
        <v>2010</v>
      </c>
      <c r="E18" s="57">
        <v>1200</v>
      </c>
      <c r="F18" s="10">
        <v>1400</v>
      </c>
      <c r="G18" s="10">
        <v>1000</v>
      </c>
      <c r="H18" s="10">
        <v>800</v>
      </c>
      <c r="I18" s="10">
        <v>3200</v>
      </c>
    </row>
    <row r="19" spans="1:11" x14ac:dyDescent="0.25">
      <c r="A19" t="s">
        <v>471</v>
      </c>
      <c r="B19">
        <v>31700</v>
      </c>
      <c r="C19" s="10">
        <v>0</v>
      </c>
      <c r="D19" s="10">
        <v>0</v>
      </c>
      <c r="E19" s="57">
        <v>0</v>
      </c>
      <c r="F19" s="10">
        <v>0</v>
      </c>
      <c r="G19" s="10">
        <v>0</v>
      </c>
      <c r="H19" s="10">
        <v>200</v>
      </c>
      <c r="I19" s="10">
        <v>0</v>
      </c>
    </row>
    <row r="20" spans="1:11" x14ac:dyDescent="0.25">
      <c r="A20" t="s">
        <v>472</v>
      </c>
      <c r="B20">
        <v>31800</v>
      </c>
      <c r="C20" s="159">
        <v>1200</v>
      </c>
      <c r="D20" s="10">
        <v>1572</v>
      </c>
      <c r="E20" s="57">
        <v>1000</v>
      </c>
      <c r="F20" s="10">
        <v>886</v>
      </c>
      <c r="G20" s="10">
        <v>1000</v>
      </c>
      <c r="H20" s="10">
        <v>944</v>
      </c>
      <c r="I20" s="10">
        <v>1000</v>
      </c>
    </row>
    <row r="21" spans="1:11" x14ac:dyDescent="0.25">
      <c r="A21" t="s">
        <v>474</v>
      </c>
      <c r="B21">
        <v>32300</v>
      </c>
      <c r="C21" s="10">
        <v>13000</v>
      </c>
      <c r="D21" s="10">
        <v>0</v>
      </c>
      <c r="E21" s="57">
        <v>13000</v>
      </c>
      <c r="F21" s="10">
        <v>6743</v>
      </c>
      <c r="G21" s="10">
        <v>13000</v>
      </c>
      <c r="H21" s="10">
        <v>13755</v>
      </c>
      <c r="I21" s="10">
        <v>0</v>
      </c>
    </row>
    <row r="22" spans="1:11" x14ac:dyDescent="0.25">
      <c r="A22" t="s">
        <v>475</v>
      </c>
      <c r="B22">
        <v>32500</v>
      </c>
      <c r="C22" s="159">
        <v>18000</v>
      </c>
      <c r="D22" s="10">
        <v>0</v>
      </c>
      <c r="E22" s="57">
        <v>15000</v>
      </c>
      <c r="F22" s="10">
        <v>0</v>
      </c>
      <c r="G22" s="10">
        <v>15000</v>
      </c>
      <c r="H22" s="10">
        <v>14695.27</v>
      </c>
      <c r="I22" s="10">
        <v>16537.61</v>
      </c>
    </row>
    <row r="23" spans="1:11" x14ac:dyDescent="0.25">
      <c r="A23" s="27" t="s">
        <v>754</v>
      </c>
      <c r="B23">
        <v>32700</v>
      </c>
      <c r="C23" s="10">
        <f>Police!C9+Fire!C6</f>
        <v>3625</v>
      </c>
      <c r="D23" s="10">
        <v>5662.79</v>
      </c>
      <c r="E23" s="57">
        <v>2000</v>
      </c>
      <c r="F23" s="10">
        <v>900</v>
      </c>
      <c r="G23" s="10">
        <v>2000</v>
      </c>
      <c r="H23" s="10">
        <v>6690.48</v>
      </c>
      <c r="I23" s="10">
        <v>6302.18</v>
      </c>
    </row>
    <row r="24" spans="1:11" x14ac:dyDescent="0.25">
      <c r="A24" t="s">
        <v>667</v>
      </c>
      <c r="B24">
        <v>32900</v>
      </c>
      <c r="C24" s="10">
        <v>0</v>
      </c>
      <c r="D24" s="10">
        <v>0</v>
      </c>
      <c r="E24" s="57">
        <v>0</v>
      </c>
      <c r="F24" s="10">
        <v>562</v>
      </c>
      <c r="G24" s="10">
        <v>0</v>
      </c>
      <c r="H24" s="10">
        <v>-475.25</v>
      </c>
      <c r="I24" s="10">
        <v>532.29999999999995</v>
      </c>
    </row>
    <row r="25" spans="1:11" x14ac:dyDescent="0.25">
      <c r="A25" t="s">
        <v>479</v>
      </c>
      <c r="B25">
        <v>33100</v>
      </c>
      <c r="C25" s="173">
        <f>'SWIM Center'!D11+Parks!D4</f>
        <v>72500</v>
      </c>
      <c r="D25" s="10">
        <v>69924.009999999995</v>
      </c>
      <c r="E25" s="57">
        <f>'SWIM Center'!F11</f>
        <v>67000</v>
      </c>
      <c r="F25" s="10">
        <f>1115.29+21859+11706.51+17773.59+16516.53</f>
        <v>68970.92</v>
      </c>
      <c r="G25" s="10">
        <f>'SWIM Center'!H11</f>
        <v>59000</v>
      </c>
      <c r="H25" s="10">
        <v>71874.58</v>
      </c>
      <c r="I25" s="10">
        <v>93361.21</v>
      </c>
    </row>
    <row r="26" spans="1:11" x14ac:dyDescent="0.25">
      <c r="A26" s="13" t="s">
        <v>560</v>
      </c>
      <c r="B26">
        <v>33200</v>
      </c>
      <c r="C26" s="10">
        <v>4500</v>
      </c>
      <c r="D26" s="10">
        <v>3490</v>
      </c>
      <c r="E26" s="57">
        <v>4500</v>
      </c>
      <c r="F26" s="10">
        <v>4850.7700000000004</v>
      </c>
      <c r="G26" s="10">
        <v>4500</v>
      </c>
      <c r="H26" s="10">
        <f>1198.5+4283+116.96</f>
        <v>5598.46</v>
      </c>
      <c r="I26" s="10">
        <v>4575.78</v>
      </c>
    </row>
    <row r="27" spans="1:11" x14ac:dyDescent="0.25">
      <c r="A27" t="s">
        <v>1175</v>
      </c>
      <c r="B27">
        <v>33201</v>
      </c>
      <c r="C27" s="159">
        <v>8500</v>
      </c>
      <c r="D27" s="10">
        <v>1040.47</v>
      </c>
      <c r="E27" s="57">
        <v>6200</v>
      </c>
      <c r="F27" s="10">
        <v>434.09</v>
      </c>
      <c r="G27" s="10">
        <v>1200</v>
      </c>
      <c r="H27" s="10">
        <v>1792.75</v>
      </c>
      <c r="I27" s="10">
        <v>695.21</v>
      </c>
      <c r="K27" s="22"/>
    </row>
    <row r="28" spans="1:11" x14ac:dyDescent="0.25">
      <c r="A28" t="s">
        <v>476</v>
      </c>
      <c r="B28">
        <v>33300</v>
      </c>
      <c r="C28" s="159">
        <v>25000</v>
      </c>
      <c r="D28" s="10">
        <v>18119.27</v>
      </c>
      <c r="E28" s="57">
        <v>22000</v>
      </c>
      <c r="F28" s="10">
        <v>15000.59</v>
      </c>
      <c r="G28" s="10">
        <v>22000</v>
      </c>
      <c r="H28" s="10">
        <v>19876.29</v>
      </c>
      <c r="I28" s="10">
        <v>17544.3</v>
      </c>
    </row>
    <row r="29" spans="1:11" x14ac:dyDescent="0.25">
      <c r="A29" t="s">
        <v>477</v>
      </c>
      <c r="B29">
        <v>34100</v>
      </c>
      <c r="C29" s="10">
        <v>6000</v>
      </c>
      <c r="D29" s="10">
        <v>4527.88</v>
      </c>
      <c r="E29" s="57">
        <v>6000</v>
      </c>
      <c r="F29" s="10">
        <v>3545.65</v>
      </c>
      <c r="G29" s="10">
        <v>6000</v>
      </c>
      <c r="H29" s="10">
        <v>7247.55</v>
      </c>
      <c r="I29" s="10">
        <v>4566.3</v>
      </c>
      <c r="K29" s="22"/>
    </row>
    <row r="30" spans="1:11" x14ac:dyDescent="0.25">
      <c r="A30" s="27" t="s">
        <v>902</v>
      </c>
      <c r="B30">
        <v>34303</v>
      </c>
      <c r="C30" s="10">
        <v>0</v>
      </c>
      <c r="D30" s="10">
        <v>0</v>
      </c>
      <c r="E30" s="57">
        <v>0</v>
      </c>
      <c r="F30" s="10">
        <v>31380.07</v>
      </c>
      <c r="G30" s="10">
        <v>0</v>
      </c>
      <c r="H30" s="10">
        <v>28177.55</v>
      </c>
      <c r="I30" s="10">
        <v>27421.75</v>
      </c>
    </row>
    <row r="31" spans="1:11" x14ac:dyDescent="0.25">
      <c r="A31" t="s">
        <v>24</v>
      </c>
      <c r="B31">
        <v>35500</v>
      </c>
      <c r="C31" s="10">
        <v>250</v>
      </c>
      <c r="D31" s="10">
        <v>90.24</v>
      </c>
      <c r="E31" s="57">
        <v>250</v>
      </c>
      <c r="F31" s="10">
        <v>87.78</v>
      </c>
      <c r="G31" s="10">
        <v>500</v>
      </c>
      <c r="H31" s="10">
        <v>143.58000000000001</v>
      </c>
      <c r="I31" s="10">
        <v>212.88</v>
      </c>
    </row>
    <row r="32" spans="1:11" x14ac:dyDescent="0.25">
      <c r="A32" t="s">
        <v>25</v>
      </c>
      <c r="B32">
        <v>36100</v>
      </c>
      <c r="C32" s="10">
        <v>8000</v>
      </c>
      <c r="D32" s="10">
        <v>4792.99</v>
      </c>
      <c r="E32" s="57">
        <v>1500</v>
      </c>
      <c r="F32" s="10">
        <v>603.80999999999995</v>
      </c>
      <c r="G32" s="10">
        <v>1500</v>
      </c>
      <c r="H32" s="10">
        <v>3078.68</v>
      </c>
      <c r="I32" s="10">
        <v>1087.5</v>
      </c>
    </row>
    <row r="33" spans="1:9" x14ac:dyDescent="0.25">
      <c r="A33" t="s">
        <v>1086</v>
      </c>
      <c r="B33">
        <v>36200</v>
      </c>
      <c r="C33" s="10">
        <v>7000</v>
      </c>
      <c r="D33" s="10">
        <v>7306.65</v>
      </c>
      <c r="E33" s="57">
        <v>7000</v>
      </c>
      <c r="F33" s="10">
        <v>6885.6</v>
      </c>
      <c r="G33" s="10">
        <v>10000</v>
      </c>
      <c r="H33" s="10">
        <v>6885.6</v>
      </c>
      <c r="I33" s="10">
        <v>6885.6</v>
      </c>
    </row>
    <row r="34" spans="1:9" x14ac:dyDescent="0.25">
      <c r="A34" t="s">
        <v>26</v>
      </c>
      <c r="B34">
        <v>36400</v>
      </c>
      <c r="C34" s="10">
        <v>10500</v>
      </c>
      <c r="D34" s="10">
        <v>13178.4</v>
      </c>
      <c r="E34" s="57">
        <v>5500</v>
      </c>
      <c r="F34" s="10">
        <v>14776.19</v>
      </c>
      <c r="G34" s="10">
        <v>5000</v>
      </c>
      <c r="H34" s="10">
        <v>52734.12</v>
      </c>
      <c r="I34" s="10">
        <v>21878</v>
      </c>
    </row>
    <row r="35" spans="1:9" x14ac:dyDescent="0.25">
      <c r="A35" t="s">
        <v>27</v>
      </c>
      <c r="B35">
        <v>36500</v>
      </c>
      <c r="C35" s="10">
        <v>5500</v>
      </c>
      <c r="D35" s="10">
        <v>9973.5400000000009</v>
      </c>
      <c r="E35" s="57">
        <f>Police!E12+Fire!E9+'SWIM Center'!F9</f>
        <v>5500</v>
      </c>
      <c r="F35" s="10">
        <v>6472</v>
      </c>
      <c r="G35" s="10">
        <v>5000</v>
      </c>
      <c r="H35" s="10">
        <v>9386.7099999999991</v>
      </c>
      <c r="I35" s="10">
        <v>4610.38</v>
      </c>
    </row>
    <row r="36" spans="1:9" x14ac:dyDescent="0.25">
      <c r="A36" t="s">
        <v>742</v>
      </c>
      <c r="B36">
        <v>36503</v>
      </c>
      <c r="C36" s="10">
        <v>13000</v>
      </c>
      <c r="D36" s="10">
        <v>0</v>
      </c>
      <c r="E36" s="57">
        <v>13000</v>
      </c>
      <c r="F36" s="10">
        <v>0</v>
      </c>
      <c r="G36" s="10">
        <v>13000</v>
      </c>
      <c r="H36" s="10">
        <v>9301</v>
      </c>
      <c r="I36" s="10">
        <v>9718</v>
      </c>
    </row>
    <row r="37" spans="1:9" x14ac:dyDescent="0.25">
      <c r="A37" t="s">
        <v>852</v>
      </c>
      <c r="B37">
        <v>36506</v>
      </c>
      <c r="C37" s="10">
        <v>7000</v>
      </c>
      <c r="D37" s="10">
        <v>0</v>
      </c>
      <c r="E37" s="57">
        <v>7000</v>
      </c>
      <c r="F37" s="10">
        <v>0</v>
      </c>
      <c r="G37" s="10">
        <v>5000</v>
      </c>
      <c r="H37" s="10">
        <v>7391</v>
      </c>
      <c r="I37" s="10">
        <v>0</v>
      </c>
    </row>
    <row r="38" spans="1:9" x14ac:dyDescent="0.25">
      <c r="A38" t="s">
        <v>865</v>
      </c>
      <c r="B38">
        <v>36600</v>
      </c>
      <c r="C38" s="10">
        <v>0</v>
      </c>
      <c r="D38" s="10">
        <v>2468.7199999999998</v>
      </c>
      <c r="E38" s="57">
        <v>0</v>
      </c>
      <c r="F38" s="10">
        <v>0</v>
      </c>
      <c r="G38" s="10">
        <v>0</v>
      </c>
      <c r="H38" s="10">
        <v>1028.25</v>
      </c>
      <c r="I38" s="10">
        <v>-1070.77</v>
      </c>
    </row>
    <row r="39" spans="1:9" x14ac:dyDescent="0.25">
      <c r="A39" t="s">
        <v>29</v>
      </c>
      <c r="B39">
        <v>36800</v>
      </c>
      <c r="C39" s="10">
        <v>500</v>
      </c>
      <c r="D39" s="10">
        <v>55</v>
      </c>
      <c r="E39" s="57">
        <v>500</v>
      </c>
      <c r="F39" s="10">
        <v>160</v>
      </c>
      <c r="G39" s="10">
        <v>500</v>
      </c>
      <c r="H39" s="10">
        <v>705.33</v>
      </c>
      <c r="I39" s="10">
        <v>767.27</v>
      </c>
    </row>
    <row r="40" spans="1:9" x14ac:dyDescent="0.25">
      <c r="A40" t="s">
        <v>140</v>
      </c>
      <c r="B40">
        <v>37300</v>
      </c>
      <c r="C40" s="10">
        <v>6000</v>
      </c>
      <c r="D40" s="10">
        <v>188439.39</v>
      </c>
      <c r="E40" s="10">
        <v>6000</v>
      </c>
      <c r="F40" s="10">
        <v>5148.71</v>
      </c>
      <c r="G40" s="10">
        <v>6000</v>
      </c>
      <c r="H40" s="10">
        <v>4729.26</v>
      </c>
      <c r="I40" s="10">
        <v>5399.94</v>
      </c>
    </row>
    <row r="41" spans="1:9" x14ac:dyDescent="0.25">
      <c r="A41" s="27" t="s">
        <v>1291</v>
      </c>
      <c r="B41">
        <v>39000</v>
      </c>
      <c r="C41" s="10">
        <v>0</v>
      </c>
      <c r="D41" s="10">
        <v>56628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x14ac:dyDescent="0.25">
      <c r="B42" s="106" t="s">
        <v>748</v>
      </c>
      <c r="C42" s="111">
        <f t="shared" ref="C42:I42" si="2">SUM(C12:C41)</f>
        <v>216465</v>
      </c>
      <c r="D42" s="111">
        <f t="shared" si="2"/>
        <v>390561.02</v>
      </c>
      <c r="E42" s="111">
        <f t="shared" si="2"/>
        <v>200040</v>
      </c>
      <c r="F42" s="111">
        <f t="shared" si="2"/>
        <v>169492.18</v>
      </c>
      <c r="G42" s="111">
        <f t="shared" si="2"/>
        <v>187390</v>
      </c>
      <c r="H42" s="111">
        <f t="shared" si="2"/>
        <v>283032.28999999998</v>
      </c>
      <c r="I42" s="111">
        <f t="shared" si="2"/>
        <v>255974.62</v>
      </c>
    </row>
    <row r="43" spans="1:9" x14ac:dyDescent="0.25">
      <c r="C43" s="10"/>
      <c r="D43" s="10"/>
      <c r="E43" s="10"/>
      <c r="G43" s="10"/>
      <c r="H43" s="10"/>
      <c r="I43" s="10"/>
    </row>
    <row r="44" spans="1:9" x14ac:dyDescent="0.25">
      <c r="C44" s="10"/>
      <c r="D44" s="10"/>
      <c r="E44" s="10"/>
      <c r="G44" s="10"/>
      <c r="H44" s="10"/>
      <c r="I44" s="10"/>
    </row>
    <row r="45" spans="1:9" x14ac:dyDescent="0.25">
      <c r="C45" s="10"/>
      <c r="D45" s="10"/>
      <c r="E45" s="10"/>
      <c r="G45" s="10"/>
      <c r="H45" s="10"/>
      <c r="I45" s="10"/>
    </row>
    <row r="46" spans="1:9" x14ac:dyDescent="0.25">
      <c r="A46" s="27" t="s">
        <v>716</v>
      </c>
      <c r="B46">
        <v>39000</v>
      </c>
      <c r="C46" s="10">
        <v>459500</v>
      </c>
      <c r="D46" s="10">
        <v>531700</v>
      </c>
      <c r="E46" s="10">
        <v>531700</v>
      </c>
      <c r="F46" s="10">
        <v>0</v>
      </c>
      <c r="G46" s="10">
        <v>224060</v>
      </c>
      <c r="H46" s="10">
        <v>0</v>
      </c>
      <c r="I46" s="10">
        <v>162000</v>
      </c>
    </row>
    <row r="47" spans="1:9" x14ac:dyDescent="0.25">
      <c r="A47" s="27" t="s">
        <v>717</v>
      </c>
      <c r="B47">
        <v>39000</v>
      </c>
      <c r="C47" s="10">
        <v>50000</v>
      </c>
      <c r="D47" s="10">
        <v>0</v>
      </c>
      <c r="E47" s="10">
        <v>45000</v>
      </c>
      <c r="F47" s="10">
        <v>0</v>
      </c>
      <c r="G47" s="10">
        <v>45000</v>
      </c>
      <c r="H47" s="10">
        <v>0</v>
      </c>
      <c r="I47" s="10">
        <v>45000</v>
      </c>
    </row>
    <row r="48" spans="1:9" x14ac:dyDescent="0.25">
      <c r="A48" s="27"/>
      <c r="B48" s="106" t="s">
        <v>748</v>
      </c>
      <c r="C48" s="111">
        <f>SUM(C46:C47)</f>
        <v>509500</v>
      </c>
      <c r="D48" s="111">
        <f>SUM(D46:D47)</f>
        <v>531700</v>
      </c>
      <c r="E48" s="111">
        <f t="shared" ref="E48:I48" si="3">SUM(E46:E47)</f>
        <v>576700</v>
      </c>
      <c r="F48" s="111">
        <f t="shared" si="3"/>
        <v>0</v>
      </c>
      <c r="G48" s="111">
        <f t="shared" si="3"/>
        <v>269060</v>
      </c>
      <c r="H48" s="111">
        <f t="shared" si="3"/>
        <v>0</v>
      </c>
      <c r="I48" s="111">
        <f t="shared" si="3"/>
        <v>207000</v>
      </c>
    </row>
    <row r="49" spans="1:9" x14ac:dyDescent="0.25">
      <c r="A49" s="27"/>
      <c r="I49" s="10"/>
    </row>
    <row r="50" spans="1:9" x14ac:dyDescent="0.25">
      <c r="I50" s="10"/>
    </row>
    <row r="51" spans="1:9" x14ac:dyDescent="0.25">
      <c r="A51" s="13"/>
      <c r="I51" s="10"/>
    </row>
  </sheetData>
  <phoneticPr fontId="2" type="noConversion"/>
  <pageMargins left="0.25" right="0.25" top="0.75" bottom="0.75" header="0.3" footer="0.3"/>
  <pageSetup orientation="landscape" r:id="rId1"/>
  <headerFooter scaleWithDoc="0"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N22" sqref="N22"/>
    </sheetView>
  </sheetViews>
  <sheetFormatPr defaultRowHeight="13.2" x14ac:dyDescent="0.25"/>
  <cols>
    <col min="1" max="1" width="18.33203125" customWidth="1"/>
    <col min="2" max="2" width="28.88671875" bestFit="1" customWidth="1"/>
    <col min="3" max="8" width="11.6640625" customWidth="1"/>
  </cols>
  <sheetData>
    <row r="1" spans="1:8" ht="15.6" x14ac:dyDescent="0.3">
      <c r="B1" s="14" t="s">
        <v>1009</v>
      </c>
      <c r="C1" s="14"/>
      <c r="D1" s="14"/>
      <c r="E1" s="14"/>
      <c r="F1" s="14"/>
      <c r="G1" s="14"/>
      <c r="H1" s="14"/>
    </row>
    <row r="2" spans="1:8" ht="15.6" x14ac:dyDescent="0.3">
      <c r="B2" s="14"/>
      <c r="C2" s="14"/>
      <c r="D2" s="14"/>
      <c r="E2" s="14"/>
      <c r="F2" s="14"/>
      <c r="G2" s="14"/>
      <c r="H2" s="14"/>
    </row>
    <row r="3" spans="1:8" ht="15.6" x14ac:dyDescent="0.3">
      <c r="B3" s="14"/>
      <c r="C3" s="14"/>
      <c r="D3" s="14"/>
      <c r="E3" s="14"/>
      <c r="F3" s="14"/>
      <c r="G3" s="14"/>
      <c r="H3" s="14"/>
    </row>
    <row r="4" spans="1:8" x14ac:dyDescent="0.25">
      <c r="C4" s="1">
        <v>2020</v>
      </c>
      <c r="D4" s="1">
        <v>2019</v>
      </c>
      <c r="E4" s="42">
        <v>2019</v>
      </c>
      <c r="F4" s="42">
        <v>2018</v>
      </c>
      <c r="G4" s="42">
        <v>2018</v>
      </c>
      <c r="H4" s="17">
        <v>2017</v>
      </c>
    </row>
    <row r="5" spans="1:8" x14ac:dyDescent="0.25">
      <c r="C5" s="1" t="s">
        <v>506</v>
      </c>
      <c r="D5" s="1" t="s">
        <v>1206</v>
      </c>
      <c r="E5" s="42" t="s">
        <v>506</v>
      </c>
      <c r="F5" s="42" t="s">
        <v>807</v>
      </c>
      <c r="G5" s="42" t="s">
        <v>506</v>
      </c>
      <c r="H5" s="42" t="s">
        <v>807</v>
      </c>
    </row>
    <row r="6" spans="1:8" x14ac:dyDescent="0.25">
      <c r="A6" s="27" t="s">
        <v>78</v>
      </c>
    </row>
    <row r="7" spans="1:8" x14ac:dyDescent="0.25">
      <c r="A7" s="27" t="s">
        <v>1022</v>
      </c>
      <c r="B7" s="27" t="s">
        <v>44</v>
      </c>
      <c r="C7" s="57">
        <v>4300</v>
      </c>
      <c r="D7" s="57">
        <v>0</v>
      </c>
      <c r="E7" s="57">
        <v>7000</v>
      </c>
      <c r="F7" s="57">
        <v>9213.18</v>
      </c>
      <c r="G7" s="57">
        <v>9500</v>
      </c>
      <c r="H7" s="57">
        <v>12077.28</v>
      </c>
    </row>
    <row r="8" spans="1:8" x14ac:dyDescent="0.25">
      <c r="C8" s="10"/>
      <c r="D8" s="10"/>
      <c r="E8" s="10"/>
      <c r="F8" s="10"/>
      <c r="G8" s="10"/>
      <c r="H8" s="10"/>
    </row>
    <row r="9" spans="1:8" x14ac:dyDescent="0.25">
      <c r="B9" s="62" t="s">
        <v>58</v>
      </c>
      <c r="C9" s="92"/>
      <c r="D9" s="92">
        <v>0</v>
      </c>
      <c r="E9" s="92">
        <v>0</v>
      </c>
      <c r="F9" s="92">
        <f>SUM(F7)</f>
        <v>9213.18</v>
      </c>
      <c r="G9" s="92">
        <f>SUM(G7:G8)</f>
        <v>9500</v>
      </c>
      <c r="H9" s="92">
        <v>12077</v>
      </c>
    </row>
    <row r="10" spans="1:8" x14ac:dyDescent="0.25">
      <c r="A10" t="s">
        <v>79</v>
      </c>
      <c r="C10" s="10"/>
      <c r="D10" s="10"/>
      <c r="E10" s="10"/>
      <c r="F10" s="10"/>
      <c r="G10" s="10"/>
      <c r="H10" s="10"/>
    </row>
    <row r="11" spans="1:8" x14ac:dyDescent="0.25">
      <c r="A11" t="s">
        <v>1023</v>
      </c>
      <c r="B11" t="s">
        <v>749</v>
      </c>
      <c r="C11" s="10">
        <v>4300</v>
      </c>
      <c r="D11" s="10">
        <v>0</v>
      </c>
      <c r="E11" s="10">
        <v>7000</v>
      </c>
      <c r="F11" s="10">
        <v>9213.18</v>
      </c>
      <c r="G11" s="10">
        <v>9500</v>
      </c>
      <c r="H11" s="10">
        <v>12077.28</v>
      </c>
    </row>
    <row r="12" spans="1:8" x14ac:dyDescent="0.25">
      <c r="A12" s="27"/>
      <c r="G12" s="10"/>
      <c r="H12" s="10"/>
    </row>
    <row r="14" spans="1:8" x14ac:dyDescent="0.25">
      <c r="A14" s="27" t="s">
        <v>1010</v>
      </c>
    </row>
    <row r="15" spans="1:8" x14ac:dyDescent="0.25">
      <c r="A15" s="27" t="s">
        <v>1011</v>
      </c>
    </row>
    <row r="16" spans="1:8" x14ac:dyDescent="0.25">
      <c r="A16" s="27"/>
    </row>
    <row r="17" spans="1:5" x14ac:dyDescent="0.25">
      <c r="A17" s="135" t="s">
        <v>1012</v>
      </c>
    </row>
    <row r="18" spans="1:5" x14ac:dyDescent="0.25">
      <c r="A18" s="27" t="s">
        <v>1087</v>
      </c>
      <c r="B18" t="s">
        <v>1092</v>
      </c>
      <c r="E18" s="27" t="s">
        <v>1172</v>
      </c>
    </row>
    <row r="19" spans="1:5" x14ac:dyDescent="0.25">
      <c r="A19" s="27" t="s">
        <v>1088</v>
      </c>
      <c r="B19" t="s">
        <v>1132</v>
      </c>
      <c r="E19" t="s">
        <v>1133</v>
      </c>
    </row>
    <row r="20" spans="1:5" x14ac:dyDescent="0.25">
      <c r="A20" s="27" t="s">
        <v>1089</v>
      </c>
    </row>
    <row r="21" spans="1:5" x14ac:dyDescent="0.25">
      <c r="A21" s="27" t="s">
        <v>1090</v>
      </c>
    </row>
    <row r="22" spans="1:5" x14ac:dyDescent="0.25">
      <c r="A22" s="27" t="s">
        <v>1091</v>
      </c>
    </row>
  </sheetData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7" sqref="B7"/>
    </sheetView>
  </sheetViews>
  <sheetFormatPr defaultRowHeight="13.2" x14ac:dyDescent="0.25"/>
  <cols>
    <col min="1" max="1" width="28.5546875" bestFit="1" customWidth="1"/>
    <col min="2" max="2" width="34.5546875" bestFit="1" customWidth="1"/>
    <col min="3" max="3" width="9.6640625" bestFit="1" customWidth="1"/>
  </cols>
  <sheetData>
    <row r="1" spans="1:10" ht="15.6" x14ac:dyDescent="0.3">
      <c r="B1" s="14" t="s">
        <v>833</v>
      </c>
      <c r="C1" s="1"/>
      <c r="D1" s="42"/>
      <c r="E1" s="42"/>
      <c r="F1" s="42"/>
      <c r="G1" s="42"/>
      <c r="H1" s="42"/>
      <c r="I1" s="17"/>
      <c r="J1" s="42"/>
    </row>
    <row r="2" spans="1:10" x14ac:dyDescent="0.25">
      <c r="C2" s="1"/>
      <c r="D2" s="42"/>
      <c r="E2" s="42"/>
      <c r="F2" s="42"/>
      <c r="G2" s="56"/>
      <c r="H2" s="42"/>
      <c r="I2" s="42"/>
      <c r="J2" s="42"/>
    </row>
    <row r="3" spans="1:10" x14ac:dyDescent="0.25">
      <c r="B3" s="30"/>
      <c r="C3" s="30"/>
      <c r="D3" s="30"/>
      <c r="E3" s="10"/>
      <c r="F3" s="31"/>
      <c r="G3" s="31"/>
      <c r="H3" s="31"/>
      <c r="I3" s="31"/>
      <c r="J3" s="32"/>
    </row>
    <row r="4" spans="1:10" x14ac:dyDescent="0.25">
      <c r="A4" s="27" t="s">
        <v>1226</v>
      </c>
      <c r="B4" s="57">
        <v>77079.98</v>
      </c>
      <c r="C4" s="10"/>
      <c r="E4" s="10"/>
      <c r="F4" s="17"/>
      <c r="G4" s="17"/>
      <c r="H4" s="17"/>
      <c r="I4" s="17"/>
      <c r="J4" s="1"/>
    </row>
    <row r="5" spans="1:10" x14ac:dyDescent="0.25">
      <c r="A5" s="27" t="s">
        <v>836</v>
      </c>
      <c r="B5" s="16">
        <v>166889.17000000001</v>
      </c>
      <c r="C5" s="57" t="s">
        <v>1279</v>
      </c>
      <c r="D5" s="57"/>
      <c r="E5" s="10"/>
      <c r="F5" s="10"/>
      <c r="G5" s="10"/>
      <c r="H5" s="10"/>
      <c r="I5" s="10"/>
      <c r="J5" s="10"/>
    </row>
    <row r="6" spans="1:10" x14ac:dyDescent="0.25">
      <c r="A6" s="27" t="s">
        <v>1227</v>
      </c>
      <c r="B6" s="16">
        <v>97007.67</v>
      </c>
      <c r="C6" s="10"/>
      <c r="D6" s="57"/>
      <c r="E6" s="10"/>
      <c r="F6" s="10"/>
      <c r="G6" s="10"/>
      <c r="H6" s="10"/>
      <c r="I6" s="10"/>
      <c r="J6" s="10"/>
    </row>
    <row r="7" spans="1:10" x14ac:dyDescent="0.25">
      <c r="A7" s="27" t="s">
        <v>1013</v>
      </c>
      <c r="B7" s="16">
        <v>0</v>
      </c>
      <c r="C7" s="57"/>
      <c r="D7" s="57"/>
      <c r="E7" s="10"/>
      <c r="F7" s="10"/>
      <c r="G7" s="10"/>
      <c r="H7" s="10"/>
      <c r="I7" s="10"/>
      <c r="J7" s="10"/>
    </row>
    <row r="8" spans="1:10" x14ac:dyDescent="0.25">
      <c r="A8" s="27" t="s">
        <v>834</v>
      </c>
      <c r="B8" s="10"/>
      <c r="C8" s="93">
        <f>B4-B5+B6+B7</f>
        <v>7198.4799999999814</v>
      </c>
    </row>
    <row r="9" spans="1:10" x14ac:dyDescent="0.25">
      <c r="B9" s="10"/>
      <c r="C9" s="10"/>
    </row>
    <row r="10" spans="1:10" x14ac:dyDescent="0.25">
      <c r="A10" s="27"/>
      <c r="B10" s="16"/>
      <c r="C10" s="10"/>
    </row>
    <row r="11" spans="1:10" x14ac:dyDescent="0.25">
      <c r="A11" s="27"/>
      <c r="B11" s="16"/>
      <c r="C11" s="93"/>
    </row>
    <row r="12" spans="1:10" x14ac:dyDescent="0.25">
      <c r="A12" s="27"/>
      <c r="B12" s="16"/>
      <c r="C12" s="93"/>
    </row>
    <row r="13" spans="1:10" x14ac:dyDescent="0.25">
      <c r="A13" s="27"/>
      <c r="B13" s="16"/>
      <c r="C13" s="10"/>
    </row>
    <row r="14" spans="1:10" x14ac:dyDescent="0.25">
      <c r="A14" s="129" t="s">
        <v>1073</v>
      </c>
      <c r="B14" s="16"/>
      <c r="C14" s="10"/>
    </row>
    <row r="15" spans="1:10" x14ac:dyDescent="0.25">
      <c r="A15" s="27" t="s">
        <v>1137</v>
      </c>
      <c r="B15" s="10"/>
      <c r="C15" s="10"/>
    </row>
    <row r="17" spans="1:1" x14ac:dyDescent="0.25">
      <c r="A17" s="129" t="s">
        <v>1134</v>
      </c>
    </row>
    <row r="18" spans="1:1" x14ac:dyDescent="0.25">
      <c r="A18" s="27" t="s">
        <v>1136</v>
      </c>
    </row>
    <row r="20" spans="1:1" x14ac:dyDescent="0.25">
      <c r="A20" s="129" t="s">
        <v>1151</v>
      </c>
    </row>
    <row r="22" spans="1:1" ht="17.399999999999999" x14ac:dyDescent="0.3">
      <c r="A22" s="168"/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2" workbookViewId="0">
      <selection activeCell="F24" sqref="F24"/>
    </sheetView>
  </sheetViews>
  <sheetFormatPr defaultRowHeight="13.2" x14ac:dyDescent="0.25"/>
  <cols>
    <col min="1" max="1" width="28.5546875" bestFit="1" customWidth="1"/>
    <col min="2" max="2" width="26.5546875" bestFit="1" customWidth="1"/>
    <col min="3" max="3" width="9.88671875" bestFit="1" customWidth="1"/>
    <col min="4" max="4" width="9.6640625" bestFit="1" customWidth="1"/>
  </cols>
  <sheetData>
    <row r="1" spans="1:9" ht="15.6" x14ac:dyDescent="0.3">
      <c r="B1" s="14" t="s">
        <v>801</v>
      </c>
      <c r="C1" s="1"/>
      <c r="D1" s="42"/>
      <c r="E1" s="42"/>
      <c r="F1" s="42"/>
      <c r="G1" s="17"/>
      <c r="H1" s="42"/>
      <c r="I1" s="17"/>
    </row>
    <row r="2" spans="1:9" x14ac:dyDescent="0.25">
      <c r="B2" s="27" t="s">
        <v>802</v>
      </c>
      <c r="C2" s="1"/>
      <c r="D2" s="17"/>
      <c r="E2" s="56"/>
      <c r="F2" s="42"/>
      <c r="G2" s="42"/>
      <c r="H2" s="42"/>
      <c r="I2" s="18"/>
    </row>
    <row r="3" spans="1:9" x14ac:dyDescent="0.25">
      <c r="B3" s="30"/>
      <c r="C3" s="10"/>
      <c r="D3" s="31"/>
      <c r="E3" s="31"/>
      <c r="F3" s="31"/>
      <c r="G3" s="31"/>
      <c r="H3" s="32"/>
      <c r="I3" s="23"/>
    </row>
    <row r="4" spans="1:9" x14ac:dyDescent="0.25">
      <c r="C4" s="10"/>
      <c r="D4" s="17"/>
      <c r="E4" s="17"/>
      <c r="F4" s="17"/>
      <c r="G4" s="17"/>
      <c r="H4" s="1"/>
      <c r="I4" s="18"/>
    </row>
    <row r="5" spans="1:9" x14ac:dyDescent="0.25">
      <c r="A5" s="27" t="s">
        <v>1226</v>
      </c>
      <c r="B5" s="57">
        <v>200737.61</v>
      </c>
      <c r="C5" s="10"/>
      <c r="D5" s="10"/>
      <c r="E5" s="10"/>
      <c r="F5" s="10"/>
      <c r="G5" s="10"/>
      <c r="H5" s="10"/>
      <c r="I5" s="10"/>
    </row>
    <row r="6" spans="1:9" x14ac:dyDescent="0.25">
      <c r="A6" s="27" t="s">
        <v>1228</v>
      </c>
      <c r="B6" s="16">
        <v>56628.3</v>
      </c>
      <c r="C6" s="57"/>
      <c r="D6" s="10"/>
      <c r="E6" s="10"/>
      <c r="F6" s="10"/>
      <c r="G6" s="10"/>
      <c r="H6" s="10"/>
      <c r="I6" s="10"/>
    </row>
    <row r="7" spans="1:9" x14ac:dyDescent="0.25">
      <c r="A7" s="27" t="s">
        <v>1229</v>
      </c>
      <c r="B7" s="16">
        <v>12861.89</v>
      </c>
      <c r="C7" s="10"/>
      <c r="D7" s="10"/>
      <c r="E7" s="10"/>
      <c r="F7" s="10"/>
      <c r="G7" s="10"/>
      <c r="H7" s="10"/>
      <c r="I7" s="10"/>
    </row>
    <row r="8" spans="1:9" x14ac:dyDescent="0.25">
      <c r="A8" s="27" t="s">
        <v>1230</v>
      </c>
      <c r="B8" s="67">
        <v>25000</v>
      </c>
      <c r="C8" s="57" t="s">
        <v>1065</v>
      </c>
      <c r="D8" s="10"/>
      <c r="E8" s="10"/>
      <c r="F8" s="10">
        <v>25000</v>
      </c>
      <c r="G8" s="10"/>
      <c r="H8" s="10"/>
      <c r="I8" s="10"/>
    </row>
    <row r="9" spans="1:9" x14ac:dyDescent="0.25">
      <c r="A9" s="27" t="s">
        <v>1231</v>
      </c>
      <c r="B9" s="10"/>
      <c r="C9" s="93">
        <f>B5-B6+B7+B8</f>
        <v>181971.20000000001</v>
      </c>
      <c r="D9" s="10"/>
    </row>
    <row r="10" spans="1:9" x14ac:dyDescent="0.25">
      <c r="B10" s="10"/>
      <c r="C10" s="10"/>
      <c r="D10" s="10"/>
    </row>
    <row r="11" spans="1:9" x14ac:dyDescent="0.25">
      <c r="A11" s="27" t="s">
        <v>1232</v>
      </c>
      <c r="B11" s="16">
        <v>180000</v>
      </c>
      <c r="C11" s="10"/>
      <c r="D11" s="10"/>
    </row>
    <row r="12" spans="1:9" x14ac:dyDescent="0.25">
      <c r="A12" s="27" t="s">
        <v>1255</v>
      </c>
      <c r="B12" s="16">
        <v>25000</v>
      </c>
      <c r="C12" s="10"/>
      <c r="D12" s="10"/>
    </row>
    <row r="13" spans="1:9" x14ac:dyDescent="0.25">
      <c r="A13" s="27" t="s">
        <v>1138</v>
      </c>
      <c r="B13" s="10"/>
      <c r="C13" s="93">
        <f>C9-B11+B12</f>
        <v>26971.200000000012</v>
      </c>
      <c r="D13" s="10"/>
    </row>
    <row r="14" spans="1:9" x14ac:dyDescent="0.25">
      <c r="A14" s="27"/>
      <c r="B14" s="10"/>
      <c r="C14" s="10"/>
      <c r="D14" s="10"/>
    </row>
    <row r="15" spans="1:9" x14ac:dyDescent="0.25">
      <c r="A15" s="27"/>
      <c r="B15" s="10"/>
      <c r="C15" s="10"/>
      <c r="D15" s="10"/>
    </row>
    <row r="16" spans="1:9" x14ac:dyDescent="0.25">
      <c r="A16" s="27"/>
      <c r="B16" s="10"/>
      <c r="C16" s="10"/>
      <c r="D16" s="10"/>
    </row>
    <row r="17" spans="1:4" x14ac:dyDescent="0.25">
      <c r="A17" s="27"/>
      <c r="B17" s="10"/>
      <c r="C17" s="10"/>
      <c r="D17" s="10"/>
    </row>
    <row r="18" spans="1:4" x14ac:dyDescent="0.25">
      <c r="A18" s="129" t="s">
        <v>1139</v>
      </c>
      <c r="B18" s="57"/>
      <c r="C18" s="10"/>
      <c r="D18" s="10"/>
    </row>
    <row r="19" spans="1:4" x14ac:dyDescent="0.25">
      <c r="A19" s="27" t="s">
        <v>1143</v>
      </c>
      <c r="B19" s="57">
        <v>62000</v>
      </c>
      <c r="C19" s="143"/>
      <c r="D19" s="10"/>
    </row>
    <row r="20" spans="1:4" x14ac:dyDescent="0.25">
      <c r="A20" s="27" t="s">
        <v>1157</v>
      </c>
      <c r="B20" s="57">
        <v>10000</v>
      </c>
      <c r="C20" s="10"/>
      <c r="D20" s="10"/>
    </row>
    <row r="21" spans="1:4" x14ac:dyDescent="0.25">
      <c r="B21" s="27"/>
      <c r="C21" s="57"/>
      <c r="D21" s="10"/>
    </row>
    <row r="22" spans="1:4" x14ac:dyDescent="0.25">
      <c r="A22" s="129" t="s">
        <v>1208</v>
      </c>
      <c r="B22" s="10"/>
      <c r="C22" s="10"/>
      <c r="D22" s="10"/>
    </row>
    <row r="23" spans="1:4" x14ac:dyDescent="0.25">
      <c r="A23" s="148" t="s">
        <v>1143</v>
      </c>
      <c r="B23" s="169">
        <v>62000</v>
      </c>
      <c r="C23" s="10"/>
      <c r="D23" s="10"/>
    </row>
    <row r="24" spans="1:4" x14ac:dyDescent="0.25">
      <c r="A24" s="27" t="s">
        <v>1254</v>
      </c>
      <c r="B24" s="10">
        <v>180000</v>
      </c>
      <c r="C24" s="10"/>
      <c r="D24" s="10"/>
    </row>
    <row r="25" spans="1:4" x14ac:dyDescent="0.25">
      <c r="B25" s="10"/>
      <c r="C25" s="10"/>
      <c r="D25" s="10"/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H19" sqref="H19"/>
    </sheetView>
  </sheetViews>
  <sheetFormatPr defaultRowHeight="13.2" x14ac:dyDescent="0.25"/>
  <cols>
    <col min="1" max="1" width="32" bestFit="1" customWidth="1"/>
    <col min="2" max="3" width="11.6640625" customWidth="1"/>
  </cols>
  <sheetData>
    <row r="1" spans="1:3" ht="15.6" x14ac:dyDescent="0.3">
      <c r="B1" s="14" t="s">
        <v>835</v>
      </c>
      <c r="C1" s="1"/>
    </row>
    <row r="2" spans="1:3" x14ac:dyDescent="0.25">
      <c r="C2" s="1"/>
    </row>
    <row r="3" spans="1:3" x14ac:dyDescent="0.25">
      <c r="B3" s="30"/>
      <c r="C3" s="30"/>
    </row>
    <row r="4" spans="1:3" x14ac:dyDescent="0.25">
      <c r="A4" s="27" t="s">
        <v>1226</v>
      </c>
      <c r="B4" s="57">
        <v>161061.6</v>
      </c>
      <c r="C4" s="10"/>
    </row>
    <row r="5" spans="1:3" x14ac:dyDescent="0.25">
      <c r="A5" s="27" t="s">
        <v>836</v>
      </c>
      <c r="B5" s="16">
        <v>-10576.75</v>
      </c>
      <c r="C5" s="10"/>
    </row>
    <row r="6" spans="1:3" x14ac:dyDescent="0.25">
      <c r="A6" s="27" t="s">
        <v>839</v>
      </c>
      <c r="B6" s="16">
        <v>12426.29</v>
      </c>
      <c r="C6" s="10"/>
    </row>
    <row r="7" spans="1:3" x14ac:dyDescent="0.25">
      <c r="A7" s="27" t="s">
        <v>837</v>
      </c>
      <c r="B7" s="67">
        <v>2091.8200000000002</v>
      </c>
      <c r="C7" s="10"/>
    </row>
    <row r="8" spans="1:3" x14ac:dyDescent="0.25">
      <c r="A8" s="27" t="s">
        <v>1231</v>
      </c>
      <c r="B8" s="10"/>
      <c r="C8" s="93">
        <f>SUM(B4:B7)</f>
        <v>165002.96000000002</v>
      </c>
    </row>
    <row r="9" spans="1:3" x14ac:dyDescent="0.25">
      <c r="B9" s="10"/>
      <c r="C9" s="10"/>
    </row>
    <row r="10" spans="1:3" x14ac:dyDescent="0.25">
      <c r="A10" s="27" t="s">
        <v>1281</v>
      </c>
      <c r="B10" s="10"/>
      <c r="C10" s="175">
        <v>71376</v>
      </c>
    </row>
    <row r="11" spans="1:3" x14ac:dyDescent="0.25">
      <c r="A11" s="106" t="s">
        <v>58</v>
      </c>
      <c r="C11" s="174">
        <f>C8-C10</f>
        <v>93626.960000000021</v>
      </c>
    </row>
    <row r="12" spans="1:3" x14ac:dyDescent="0.25">
      <c r="A12" s="27"/>
      <c r="B12" s="10"/>
      <c r="C12" s="10"/>
    </row>
    <row r="13" spans="1:3" x14ac:dyDescent="0.25">
      <c r="B13" s="10"/>
      <c r="C13" s="10"/>
    </row>
    <row r="14" spans="1:3" x14ac:dyDescent="0.25">
      <c r="A14" s="129" t="s">
        <v>1073</v>
      </c>
      <c r="B14" s="10"/>
      <c r="C14" s="10"/>
    </row>
    <row r="15" spans="1:3" x14ac:dyDescent="0.25">
      <c r="A15" s="27" t="s">
        <v>1066</v>
      </c>
      <c r="B15" s="16">
        <v>40000</v>
      </c>
      <c r="C15" s="10"/>
    </row>
    <row r="17" spans="1:1" x14ac:dyDescent="0.25">
      <c r="A17" s="129" t="s">
        <v>1134</v>
      </c>
    </row>
    <row r="20" spans="1:1" x14ac:dyDescent="0.25">
      <c r="A20" s="129" t="s">
        <v>1151</v>
      </c>
    </row>
  </sheetData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"/>
  <sheetViews>
    <sheetView workbookViewId="0">
      <selection activeCell="F27" sqref="F27"/>
    </sheetView>
  </sheetViews>
  <sheetFormatPr defaultRowHeight="13.2" x14ac:dyDescent="0.25"/>
  <cols>
    <col min="1" max="1" width="15.88671875" customWidth="1"/>
    <col min="2" max="2" width="26.5546875" bestFit="1" customWidth="1"/>
    <col min="3" max="9" width="11.6640625" customWidth="1"/>
  </cols>
  <sheetData>
    <row r="1" spans="1:9" ht="15.6" x14ac:dyDescent="0.3">
      <c r="B1" s="14" t="s">
        <v>800</v>
      </c>
      <c r="C1" s="1">
        <v>2020</v>
      </c>
      <c r="D1" s="1">
        <v>2019</v>
      </c>
      <c r="E1" s="42">
        <v>2019</v>
      </c>
      <c r="F1" s="42">
        <v>2018</v>
      </c>
      <c r="G1" s="42">
        <v>2018</v>
      </c>
      <c r="H1" s="42">
        <v>2017</v>
      </c>
      <c r="I1" s="42">
        <v>2016</v>
      </c>
    </row>
    <row r="2" spans="1:9" x14ac:dyDescent="0.25">
      <c r="C2" s="1" t="s">
        <v>506</v>
      </c>
      <c r="D2" s="1" t="s">
        <v>1206</v>
      </c>
      <c r="E2" s="42" t="s">
        <v>506</v>
      </c>
      <c r="F2" s="42" t="s">
        <v>807</v>
      </c>
      <c r="G2" s="42" t="s">
        <v>506</v>
      </c>
      <c r="H2" s="42" t="s">
        <v>807</v>
      </c>
      <c r="I2" s="42" t="s">
        <v>807</v>
      </c>
    </row>
    <row r="3" spans="1:9" ht="13.5" customHeight="1" x14ac:dyDescent="0.25">
      <c r="B3" s="30"/>
      <c r="C3" s="30"/>
      <c r="D3" s="30"/>
      <c r="E3" s="30"/>
      <c r="F3" s="30"/>
      <c r="G3" s="30"/>
      <c r="H3" s="30"/>
      <c r="I3" s="30"/>
    </row>
    <row r="4" spans="1:9" ht="13.5" customHeight="1" x14ac:dyDescent="0.25">
      <c r="A4" s="27" t="s">
        <v>78</v>
      </c>
      <c r="B4" s="30"/>
      <c r="C4" s="30"/>
      <c r="D4" s="30"/>
      <c r="E4" s="30"/>
      <c r="F4" s="30"/>
      <c r="G4" s="30"/>
      <c r="H4" s="30"/>
      <c r="I4" s="30"/>
    </row>
    <row r="5" spans="1:9" ht="13.5" customHeight="1" x14ac:dyDescent="0.25">
      <c r="A5" s="27" t="s">
        <v>950</v>
      </c>
      <c r="B5" s="62" t="s">
        <v>697</v>
      </c>
      <c r="C5" s="92">
        <v>0</v>
      </c>
      <c r="D5" s="92">
        <v>254.13</v>
      </c>
      <c r="E5" s="92">
        <v>0</v>
      </c>
      <c r="F5" s="92">
        <v>43.34</v>
      </c>
      <c r="G5" s="92">
        <v>0</v>
      </c>
      <c r="H5" s="92">
        <v>56.08</v>
      </c>
      <c r="I5" s="112">
        <v>4051</v>
      </c>
    </row>
    <row r="6" spans="1:9" ht="13.5" customHeight="1" x14ac:dyDescent="0.25">
      <c r="A6" s="27" t="s">
        <v>951</v>
      </c>
      <c r="B6" s="62" t="s">
        <v>44</v>
      </c>
      <c r="C6" s="92">
        <v>25000</v>
      </c>
      <c r="D6" s="92">
        <v>0</v>
      </c>
      <c r="E6" s="92">
        <v>1000</v>
      </c>
      <c r="F6" s="92">
        <v>10000</v>
      </c>
      <c r="G6" s="92">
        <v>10000</v>
      </c>
      <c r="H6" s="92">
        <v>10002.049999999999</v>
      </c>
      <c r="I6" s="112">
        <v>15000</v>
      </c>
    </row>
    <row r="7" spans="1:9" ht="13.5" customHeight="1" x14ac:dyDescent="0.25">
      <c r="A7" s="27"/>
      <c r="B7" s="62"/>
      <c r="C7" s="92"/>
      <c r="D7" s="92"/>
      <c r="E7" s="92"/>
      <c r="F7" s="92"/>
      <c r="G7" s="92"/>
      <c r="H7" s="92"/>
      <c r="I7" s="112"/>
    </row>
    <row r="8" spans="1:9" ht="13.5" customHeight="1" x14ac:dyDescent="0.25">
      <c r="A8" s="27"/>
      <c r="B8" s="62" t="s">
        <v>748</v>
      </c>
      <c r="C8" s="92">
        <f>SUM(C5:C7)</f>
        <v>25000</v>
      </c>
      <c r="D8" s="92">
        <f>SUM(D5:D7)</f>
        <v>254.13</v>
      </c>
      <c r="E8" s="92">
        <f>SUM(E5:E6)</f>
        <v>1000</v>
      </c>
      <c r="F8" s="92">
        <f>SUM(F5:F7)</f>
        <v>10043.34</v>
      </c>
      <c r="G8" s="92">
        <f>SUM(G5:G7)</f>
        <v>10000</v>
      </c>
      <c r="H8" s="92">
        <f>SUM(H5:H7)</f>
        <v>10058.129999999999</v>
      </c>
      <c r="I8" s="112">
        <f t="shared" ref="I8" si="0">SUM(I5:I7)</f>
        <v>19051</v>
      </c>
    </row>
    <row r="9" spans="1:9" ht="13.5" customHeight="1" x14ac:dyDescent="0.25">
      <c r="B9" s="30"/>
      <c r="C9" s="112"/>
      <c r="D9" s="112"/>
      <c r="E9" s="112"/>
      <c r="F9" s="30"/>
      <c r="G9" s="112"/>
      <c r="H9" s="112"/>
      <c r="I9" s="30"/>
    </row>
    <row r="10" spans="1:9" x14ac:dyDescent="0.25">
      <c r="A10" t="s">
        <v>79</v>
      </c>
      <c r="C10" s="10"/>
      <c r="D10" s="10"/>
      <c r="E10" s="10"/>
      <c r="G10" s="10"/>
      <c r="H10" s="10"/>
    </row>
    <row r="11" spans="1:9" x14ac:dyDescent="0.25">
      <c r="A11" s="27" t="s">
        <v>952</v>
      </c>
      <c r="B11" s="27" t="s">
        <v>695</v>
      </c>
      <c r="C11" s="57">
        <v>0</v>
      </c>
      <c r="D11" s="57">
        <v>28000</v>
      </c>
      <c r="E11" s="57">
        <v>0</v>
      </c>
      <c r="F11" s="57">
        <v>0</v>
      </c>
      <c r="G11" s="57">
        <v>0</v>
      </c>
      <c r="H11" s="144">
        <v>0</v>
      </c>
      <c r="I11" s="57">
        <v>10000</v>
      </c>
    </row>
    <row r="12" spans="1:9" x14ac:dyDescent="0.25">
      <c r="A12" s="27"/>
      <c r="C12" s="10"/>
      <c r="D12" s="10"/>
      <c r="E12" s="10"/>
      <c r="F12" s="10"/>
      <c r="G12" s="10"/>
      <c r="H12" s="19"/>
      <c r="I12" s="10"/>
    </row>
    <row r="13" spans="1:9" x14ac:dyDescent="0.25">
      <c r="B13" t="s">
        <v>748</v>
      </c>
      <c r="C13" s="10">
        <f>C11</f>
        <v>0</v>
      </c>
      <c r="D13" s="10">
        <f>SUM(D11:D12)</f>
        <v>28000</v>
      </c>
      <c r="E13" s="10">
        <v>0</v>
      </c>
      <c r="F13" s="10">
        <v>0</v>
      </c>
      <c r="G13" s="10">
        <f>G11</f>
        <v>0</v>
      </c>
      <c r="H13" s="19">
        <f>H11</f>
        <v>0</v>
      </c>
      <c r="I13" s="10">
        <f>SUM(I11:I12)</f>
        <v>10000</v>
      </c>
    </row>
    <row r="14" spans="1:9" x14ac:dyDescent="0.25">
      <c r="F14" s="10"/>
    </row>
    <row r="17" spans="1:1" x14ac:dyDescent="0.25">
      <c r="A17" s="27" t="s">
        <v>1278</v>
      </c>
    </row>
    <row r="18" spans="1:1" x14ac:dyDescent="0.25">
      <c r="A18" s="51"/>
    </row>
    <row r="19" spans="1:1" x14ac:dyDescent="0.25">
      <c r="A19" s="27" t="s">
        <v>1233</v>
      </c>
    </row>
  </sheetData>
  <pageMargins left="0.7" right="0.7" top="0.75" bottom="0.75" header="0.3" footer="0.3"/>
  <pageSetup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32" sqref="D32"/>
    </sheetView>
  </sheetViews>
  <sheetFormatPr defaultRowHeight="13.2" x14ac:dyDescent="0.25"/>
  <cols>
    <col min="1" max="1" width="28.44140625" customWidth="1"/>
    <col min="2" max="2" width="12.6640625" customWidth="1"/>
    <col min="3" max="3" width="11.6640625" customWidth="1"/>
  </cols>
  <sheetData>
    <row r="1" spans="1:3" ht="15.6" x14ac:dyDescent="0.3">
      <c r="B1" s="14" t="s">
        <v>838</v>
      </c>
      <c r="C1" s="1"/>
    </row>
    <row r="2" spans="1:3" x14ac:dyDescent="0.25">
      <c r="C2" s="1"/>
    </row>
    <row r="3" spans="1:3" x14ac:dyDescent="0.25">
      <c r="B3" s="30"/>
      <c r="C3" s="30"/>
    </row>
    <row r="4" spans="1:3" x14ac:dyDescent="0.25">
      <c r="A4" s="27" t="s">
        <v>1226</v>
      </c>
      <c r="B4" s="57">
        <v>213722.91</v>
      </c>
      <c r="C4" s="10"/>
    </row>
    <row r="5" spans="1:3" x14ac:dyDescent="0.25">
      <c r="A5" s="27" t="s">
        <v>836</v>
      </c>
      <c r="B5" s="10">
        <v>23908.01</v>
      </c>
      <c r="C5" s="10"/>
    </row>
    <row r="6" spans="1:3" x14ac:dyDescent="0.25">
      <c r="A6" s="27" t="s">
        <v>872</v>
      </c>
      <c r="B6" s="67">
        <v>44174.83</v>
      </c>
      <c r="C6" s="10"/>
    </row>
    <row r="7" spans="1:3" x14ac:dyDescent="0.25">
      <c r="A7" s="27" t="s">
        <v>1231</v>
      </c>
      <c r="B7" s="10"/>
      <c r="C7" s="93">
        <f>B4-B5+B6</f>
        <v>233989.72999999998</v>
      </c>
    </row>
    <row r="8" spans="1:3" x14ac:dyDescent="0.25">
      <c r="B8" s="10"/>
      <c r="C8" s="10"/>
    </row>
    <row r="9" spans="1:3" x14ac:dyDescent="0.25">
      <c r="A9" s="27"/>
      <c r="B9" s="16"/>
      <c r="C9" s="10"/>
    </row>
    <row r="10" spans="1:3" x14ac:dyDescent="0.25">
      <c r="A10" s="27"/>
      <c r="B10" s="10"/>
      <c r="C10" s="93"/>
    </row>
    <row r="11" spans="1:3" x14ac:dyDescent="0.25">
      <c r="A11" s="27"/>
      <c r="B11" s="10"/>
      <c r="C11" s="93"/>
    </row>
    <row r="12" spans="1:3" x14ac:dyDescent="0.25">
      <c r="A12" s="129" t="s">
        <v>1073</v>
      </c>
      <c r="B12" s="10"/>
      <c r="C12" s="10"/>
    </row>
    <row r="13" spans="1:3" x14ac:dyDescent="0.25">
      <c r="A13" s="27" t="s">
        <v>1067</v>
      </c>
      <c r="B13" s="16">
        <v>30000</v>
      </c>
      <c r="C13" s="10"/>
    </row>
    <row r="15" spans="1:3" x14ac:dyDescent="0.25">
      <c r="A15" s="129" t="s">
        <v>1134</v>
      </c>
    </row>
    <row r="16" spans="1:3" x14ac:dyDescent="0.25">
      <c r="A16" s="27" t="s">
        <v>1202</v>
      </c>
      <c r="B16" s="10">
        <v>52000</v>
      </c>
    </row>
    <row r="19" spans="1:2" x14ac:dyDescent="0.25">
      <c r="A19" s="129" t="s">
        <v>1151</v>
      </c>
    </row>
    <row r="20" spans="1:2" x14ac:dyDescent="0.25">
      <c r="A20" t="s">
        <v>1276</v>
      </c>
      <c r="B20" s="10"/>
    </row>
    <row r="21" spans="1:2" x14ac:dyDescent="0.25">
      <c r="A21" t="s">
        <v>1277</v>
      </c>
    </row>
  </sheetData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F27" sqref="F27:F28"/>
    </sheetView>
  </sheetViews>
  <sheetFormatPr defaultRowHeight="13.2" x14ac:dyDescent="0.25"/>
  <cols>
    <col min="1" max="1" width="29.33203125" bestFit="1" customWidth="1"/>
    <col min="2" max="2" width="12.6640625" customWidth="1"/>
    <col min="3" max="3" width="11.6640625" customWidth="1"/>
  </cols>
  <sheetData>
    <row r="1" spans="1:3" ht="15.6" x14ac:dyDescent="0.3">
      <c r="B1" s="14" t="s">
        <v>840</v>
      </c>
      <c r="C1" s="1"/>
    </row>
    <row r="2" spans="1:3" x14ac:dyDescent="0.25">
      <c r="C2" s="1"/>
    </row>
    <row r="3" spans="1:3" x14ac:dyDescent="0.25">
      <c r="B3" s="30"/>
      <c r="C3" s="30"/>
    </row>
    <row r="4" spans="1:3" x14ac:dyDescent="0.25">
      <c r="A4" s="27" t="s">
        <v>1226</v>
      </c>
      <c r="B4" s="57">
        <v>264428.98</v>
      </c>
      <c r="C4" s="10"/>
    </row>
    <row r="5" spans="1:3" x14ac:dyDescent="0.25">
      <c r="A5" s="27" t="s">
        <v>836</v>
      </c>
      <c r="B5" s="16">
        <v>75.760000000000005</v>
      </c>
      <c r="C5" s="10"/>
    </row>
    <row r="6" spans="1:3" x14ac:dyDescent="0.25">
      <c r="A6" s="27" t="s">
        <v>873</v>
      </c>
      <c r="B6" s="16">
        <v>53107.94</v>
      </c>
      <c r="C6" s="10"/>
    </row>
    <row r="7" spans="1:3" x14ac:dyDescent="0.25">
      <c r="A7" s="27" t="s">
        <v>1231</v>
      </c>
      <c r="B7" s="10"/>
      <c r="C7" s="93">
        <f>(B4-B5)+B6</f>
        <v>317461.15999999997</v>
      </c>
    </row>
    <row r="8" spans="1:3" x14ac:dyDescent="0.25">
      <c r="B8" s="10"/>
      <c r="C8" s="10"/>
    </row>
    <row r="9" spans="1:3" x14ac:dyDescent="0.25">
      <c r="A9" s="27"/>
      <c r="B9" s="10"/>
      <c r="C9" s="10"/>
    </row>
    <row r="10" spans="1:3" x14ac:dyDescent="0.25">
      <c r="B10" s="10"/>
      <c r="C10" s="10"/>
    </row>
    <row r="11" spans="1:3" x14ac:dyDescent="0.25">
      <c r="A11" s="129" t="s">
        <v>1073</v>
      </c>
      <c r="B11" s="10"/>
      <c r="C11" s="10"/>
    </row>
    <row r="12" spans="1:3" x14ac:dyDescent="0.25">
      <c r="A12" s="27" t="s">
        <v>1068</v>
      </c>
      <c r="B12" s="10">
        <v>750000</v>
      </c>
      <c r="C12" s="27" t="s">
        <v>1069</v>
      </c>
    </row>
    <row r="14" spans="1:3" x14ac:dyDescent="0.25">
      <c r="A14" s="129" t="s">
        <v>1134</v>
      </c>
    </row>
    <row r="15" spans="1:3" x14ac:dyDescent="0.25">
      <c r="A15" s="27" t="s">
        <v>1068</v>
      </c>
      <c r="B15" s="10">
        <v>750000</v>
      </c>
    </row>
    <row r="18" spans="1:2" x14ac:dyDescent="0.25">
      <c r="A18" s="129" t="s">
        <v>1151</v>
      </c>
    </row>
    <row r="19" spans="1:2" x14ac:dyDescent="0.25">
      <c r="A19" t="s">
        <v>1068</v>
      </c>
      <c r="B19" s="10">
        <v>877000</v>
      </c>
    </row>
    <row r="20" spans="1:2" x14ac:dyDescent="0.25">
      <c r="A20" t="s">
        <v>1276</v>
      </c>
      <c r="B20" s="10">
        <v>730000</v>
      </c>
    </row>
  </sheetData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0" workbookViewId="0">
      <selection activeCell="E6" sqref="E6"/>
    </sheetView>
  </sheetViews>
  <sheetFormatPr defaultRowHeight="13.2" x14ac:dyDescent="0.25"/>
  <cols>
    <col min="1" max="1" width="18.33203125" customWidth="1"/>
    <col min="2" max="2" width="27.44140625" customWidth="1"/>
    <col min="3" max="3" width="7.5546875" customWidth="1"/>
    <col min="4" max="10" width="11.6640625" customWidth="1"/>
  </cols>
  <sheetData>
    <row r="1" spans="1:10" ht="15.6" x14ac:dyDescent="0.3">
      <c r="B1" s="14" t="s">
        <v>583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42">
        <v>2017</v>
      </c>
      <c r="J1" s="42">
        <v>2016</v>
      </c>
    </row>
    <row r="2" spans="1:10" x14ac:dyDescent="0.25"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 t="s">
        <v>807</v>
      </c>
      <c r="J2" s="42" t="s">
        <v>807</v>
      </c>
    </row>
    <row r="3" spans="1:10" x14ac:dyDescent="0.25">
      <c r="A3" s="27" t="s">
        <v>78</v>
      </c>
    </row>
    <row r="4" spans="1:10" x14ac:dyDescent="0.25">
      <c r="A4" s="27" t="s">
        <v>592</v>
      </c>
      <c r="B4" s="27" t="s">
        <v>28</v>
      </c>
      <c r="D4" s="10">
        <v>11500</v>
      </c>
      <c r="E4" s="10">
        <v>8975.65</v>
      </c>
      <c r="F4" s="10">
        <v>11500</v>
      </c>
      <c r="G4" s="10">
        <v>10889.35</v>
      </c>
      <c r="H4" s="10">
        <v>9000</v>
      </c>
      <c r="I4" s="10">
        <v>10700.31</v>
      </c>
      <c r="J4" s="10">
        <v>6156.6</v>
      </c>
    </row>
    <row r="5" spans="1:10" x14ac:dyDescent="0.25">
      <c r="A5" s="27" t="s">
        <v>947</v>
      </c>
      <c r="B5" s="27" t="s">
        <v>697</v>
      </c>
      <c r="D5" s="10">
        <v>10</v>
      </c>
      <c r="E5" s="10">
        <v>16.940000000000001</v>
      </c>
      <c r="F5" s="10">
        <v>10</v>
      </c>
      <c r="G5" s="10">
        <v>11.3</v>
      </c>
      <c r="H5" s="10">
        <v>10</v>
      </c>
      <c r="I5" s="10">
        <v>5.0199999999999996</v>
      </c>
      <c r="J5" s="10">
        <v>6.33</v>
      </c>
    </row>
    <row r="6" spans="1:10" x14ac:dyDescent="0.25">
      <c r="D6" s="10"/>
      <c r="E6" s="10"/>
      <c r="F6" s="10"/>
      <c r="G6" s="10"/>
      <c r="H6" s="10"/>
      <c r="I6" s="10"/>
      <c r="J6" s="10"/>
    </row>
    <row r="7" spans="1:10" x14ac:dyDescent="0.25">
      <c r="B7" s="30" t="s">
        <v>58</v>
      </c>
      <c r="D7" s="10">
        <f>SUM(D4:D6)</f>
        <v>11510</v>
      </c>
      <c r="E7" s="10">
        <f>SUM(E4:E5)</f>
        <v>8992.59</v>
      </c>
      <c r="F7" s="10">
        <f>SUM(F4:F5)</f>
        <v>11510</v>
      </c>
      <c r="G7" s="10">
        <f t="shared" ref="G7:J7" si="0">SUM(G4:G6)</f>
        <v>10900.65</v>
      </c>
      <c r="H7" s="10">
        <f t="shared" si="0"/>
        <v>9010</v>
      </c>
      <c r="I7" s="10">
        <f t="shared" si="0"/>
        <v>10705.33</v>
      </c>
      <c r="J7" s="10">
        <f t="shared" si="0"/>
        <v>6162.93</v>
      </c>
    </row>
    <row r="8" spans="1:10" x14ac:dyDescent="0.25">
      <c r="A8" t="s">
        <v>79</v>
      </c>
      <c r="E8" s="10"/>
      <c r="F8" s="10"/>
      <c r="G8" s="10"/>
      <c r="H8" s="10"/>
      <c r="I8" s="10"/>
    </row>
    <row r="9" spans="1:10" x14ac:dyDescent="0.25">
      <c r="A9" t="s">
        <v>192</v>
      </c>
      <c r="E9" s="10"/>
      <c r="F9" s="10"/>
      <c r="G9" s="10"/>
      <c r="H9" s="10"/>
      <c r="I9" s="10"/>
    </row>
    <row r="10" spans="1:10" x14ac:dyDescent="0.25">
      <c r="A10" s="27" t="s">
        <v>584</v>
      </c>
      <c r="B10" t="s">
        <v>47</v>
      </c>
      <c r="D10" s="10">
        <v>5000</v>
      </c>
      <c r="E10" s="10">
        <v>4323.75</v>
      </c>
      <c r="F10" s="10">
        <v>5000</v>
      </c>
      <c r="G10" s="10">
        <v>6537.2</v>
      </c>
      <c r="H10" s="10">
        <v>7000</v>
      </c>
      <c r="I10" s="10">
        <v>7740</v>
      </c>
      <c r="J10" s="10">
        <v>7942</v>
      </c>
    </row>
    <row r="11" spans="1:10" x14ac:dyDescent="0.25">
      <c r="A11" t="s">
        <v>188</v>
      </c>
      <c r="D11" s="10"/>
      <c r="E11" s="10"/>
      <c r="F11" s="10"/>
      <c r="G11" s="10"/>
      <c r="H11" s="10"/>
      <c r="I11" s="10"/>
      <c r="J11" s="10"/>
    </row>
    <row r="12" spans="1:10" x14ac:dyDescent="0.25">
      <c r="A12" t="s">
        <v>778</v>
      </c>
      <c r="B12" t="s">
        <v>190</v>
      </c>
      <c r="D12" s="10">
        <v>525</v>
      </c>
      <c r="E12" s="10">
        <v>324.3</v>
      </c>
      <c r="F12" s="10">
        <v>525</v>
      </c>
      <c r="G12" s="10">
        <v>490.29</v>
      </c>
      <c r="H12" s="10">
        <f>H10*0.075</f>
        <v>525</v>
      </c>
      <c r="I12" s="10">
        <v>580.52</v>
      </c>
      <c r="J12" s="10">
        <v>595.71</v>
      </c>
    </row>
    <row r="13" spans="1:10" x14ac:dyDescent="0.25">
      <c r="A13" s="27" t="s">
        <v>585</v>
      </c>
      <c r="B13" t="s">
        <v>82</v>
      </c>
      <c r="D13" s="10">
        <v>434</v>
      </c>
      <c r="E13" s="10">
        <v>268.07</v>
      </c>
      <c r="F13" s="10">
        <v>434</v>
      </c>
      <c r="G13" s="10">
        <v>405.33</v>
      </c>
      <c r="H13" s="10">
        <f>H10*0.062</f>
        <v>434</v>
      </c>
      <c r="I13" s="10">
        <v>479.87</v>
      </c>
      <c r="J13" s="10">
        <v>492.41</v>
      </c>
    </row>
    <row r="14" spans="1:10" x14ac:dyDescent="0.25">
      <c r="A14" s="27" t="s">
        <v>586</v>
      </c>
      <c r="B14" t="s">
        <v>84</v>
      </c>
      <c r="D14" s="10">
        <v>102</v>
      </c>
      <c r="E14" s="10">
        <v>62.83</v>
      </c>
      <c r="F14" s="10">
        <v>102</v>
      </c>
      <c r="G14" s="10">
        <v>94.79</v>
      </c>
      <c r="H14" s="10">
        <f>H10*0.0145</f>
        <v>101.5</v>
      </c>
      <c r="I14" s="10">
        <v>112.22</v>
      </c>
      <c r="J14" s="10">
        <v>115.18</v>
      </c>
    </row>
    <row r="15" spans="1:10" x14ac:dyDescent="0.25">
      <c r="A15" t="s">
        <v>43</v>
      </c>
      <c r="C15" s="10"/>
      <c r="D15" s="10"/>
      <c r="E15" s="10"/>
      <c r="F15" s="10"/>
      <c r="G15" s="10"/>
      <c r="H15" s="10"/>
      <c r="I15" s="10"/>
      <c r="J15" s="10"/>
    </row>
    <row r="16" spans="1:10" x14ac:dyDescent="0.25">
      <c r="A16" t="s">
        <v>358</v>
      </c>
      <c r="B16" t="s">
        <v>182</v>
      </c>
      <c r="C16" s="10"/>
      <c r="D16" s="10">
        <v>10</v>
      </c>
      <c r="E16" s="10">
        <v>4</v>
      </c>
      <c r="F16" s="10">
        <v>10</v>
      </c>
      <c r="G16" s="10">
        <v>4</v>
      </c>
      <c r="H16" s="10">
        <v>10</v>
      </c>
      <c r="I16" s="10">
        <v>3.9</v>
      </c>
      <c r="J16" s="10">
        <v>2</v>
      </c>
    </row>
    <row r="17" spans="1:10" x14ac:dyDescent="0.25">
      <c r="A17" t="s">
        <v>33</v>
      </c>
      <c r="D17" s="10"/>
      <c r="E17" s="10"/>
      <c r="F17" s="10"/>
      <c r="G17" s="10"/>
      <c r="H17" s="10"/>
      <c r="I17" s="10"/>
      <c r="J17" s="10"/>
    </row>
    <row r="18" spans="1:10" x14ac:dyDescent="0.25">
      <c r="A18" s="27" t="s">
        <v>587</v>
      </c>
      <c r="B18" t="s">
        <v>42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205.25</v>
      </c>
    </row>
    <row r="19" spans="1:10" x14ac:dyDescent="0.25">
      <c r="A19" t="s">
        <v>149</v>
      </c>
      <c r="D19" s="10"/>
      <c r="E19" s="10"/>
      <c r="F19" s="10"/>
      <c r="G19" s="10"/>
      <c r="H19" s="10"/>
      <c r="I19" s="10"/>
      <c r="J19" s="10"/>
    </row>
    <row r="20" spans="1:10" x14ac:dyDescent="0.25">
      <c r="A20" s="27" t="s">
        <v>588</v>
      </c>
      <c r="B20" t="s">
        <v>523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x14ac:dyDescent="0.25">
      <c r="A21" s="27" t="s">
        <v>6</v>
      </c>
      <c r="D21" s="10"/>
      <c r="E21" s="10"/>
      <c r="F21" s="10"/>
      <c r="G21" s="10"/>
      <c r="H21" s="10"/>
      <c r="I21" s="10"/>
      <c r="J21" s="10"/>
    </row>
    <row r="22" spans="1:10" x14ac:dyDescent="0.25">
      <c r="A22" s="27" t="s">
        <v>679</v>
      </c>
      <c r="B22" s="27" t="s">
        <v>680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x14ac:dyDescent="0.25">
      <c r="A23" s="27" t="s">
        <v>638</v>
      </c>
      <c r="B23" s="27" t="s">
        <v>94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x14ac:dyDescent="0.25">
      <c r="A24" s="27" t="s">
        <v>676</v>
      </c>
      <c r="B24" s="27" t="s">
        <v>139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x14ac:dyDescent="0.25">
      <c r="A25" s="27" t="s">
        <v>136</v>
      </c>
      <c r="B25" s="27"/>
      <c r="D25" s="10"/>
      <c r="E25" s="10"/>
      <c r="F25" s="10"/>
      <c r="G25" s="10"/>
      <c r="H25" s="10"/>
      <c r="I25" s="10"/>
      <c r="J25" s="10"/>
    </row>
    <row r="26" spans="1:10" x14ac:dyDescent="0.25">
      <c r="A26" s="27" t="s">
        <v>786</v>
      </c>
      <c r="B26" s="27" t="s">
        <v>137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x14ac:dyDescent="0.25">
      <c r="A27" t="s">
        <v>497</v>
      </c>
      <c r="D27" s="10"/>
      <c r="E27" s="10"/>
      <c r="F27" s="10"/>
      <c r="G27" s="10"/>
      <c r="H27" s="10"/>
      <c r="I27" s="10"/>
      <c r="J27" s="10"/>
    </row>
    <row r="28" spans="1:10" x14ac:dyDescent="0.25">
      <c r="A28" s="27" t="s">
        <v>589</v>
      </c>
      <c r="B28" t="s">
        <v>114</v>
      </c>
      <c r="D28" s="10">
        <v>5439</v>
      </c>
      <c r="E28" s="10">
        <v>0</v>
      </c>
      <c r="F28" s="10">
        <v>5439</v>
      </c>
      <c r="G28" s="10">
        <v>158.03</v>
      </c>
      <c r="H28" s="10">
        <v>950</v>
      </c>
      <c r="I28" s="10">
        <v>839</v>
      </c>
      <c r="J28" s="10">
        <v>0</v>
      </c>
    </row>
    <row r="29" spans="1:10" x14ac:dyDescent="0.25">
      <c r="A29" t="s">
        <v>107</v>
      </c>
      <c r="D29" s="10"/>
      <c r="E29" s="10"/>
      <c r="F29" s="10"/>
      <c r="G29" s="10"/>
      <c r="H29" s="10"/>
      <c r="I29" s="10"/>
      <c r="J29" s="10"/>
    </row>
    <row r="30" spans="1:10" x14ac:dyDescent="0.25">
      <c r="A30" s="27" t="s">
        <v>677</v>
      </c>
      <c r="B30" s="27" t="s">
        <v>678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0" x14ac:dyDescent="0.25">
      <c r="A31" s="27" t="s">
        <v>590</v>
      </c>
      <c r="B31" t="s">
        <v>538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x14ac:dyDescent="0.25">
      <c r="A32" s="27" t="s">
        <v>591</v>
      </c>
      <c r="B32" t="s">
        <v>581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1" x14ac:dyDescent="0.25">
      <c r="A33" s="27" t="s">
        <v>675</v>
      </c>
      <c r="B33" s="27" t="s">
        <v>537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1" x14ac:dyDescent="0.25">
      <c r="B34" s="25" t="s">
        <v>58</v>
      </c>
      <c r="D34" s="10">
        <f>SUM(D10:D33)</f>
        <v>11510</v>
      </c>
      <c r="E34" s="10">
        <f>SUM(E10:E33)</f>
        <v>4982.95</v>
      </c>
      <c r="F34" s="10">
        <f t="shared" ref="F34:J34" si="1">SUM(F10:F33)</f>
        <v>11510</v>
      </c>
      <c r="G34" s="10">
        <f t="shared" si="1"/>
        <v>7689.6399999999994</v>
      </c>
      <c r="H34" s="10">
        <f t="shared" si="1"/>
        <v>9020.5</v>
      </c>
      <c r="I34" s="10">
        <f t="shared" si="1"/>
        <v>9755.51</v>
      </c>
      <c r="J34" s="10">
        <f t="shared" si="1"/>
        <v>9352.5499999999993</v>
      </c>
      <c r="K34" s="27"/>
    </row>
    <row r="36" spans="1:11" x14ac:dyDescent="0.25">
      <c r="A36" s="1"/>
    </row>
    <row r="37" spans="1:11" x14ac:dyDescent="0.25">
      <c r="A37" s="27" t="s">
        <v>1176</v>
      </c>
    </row>
    <row r="38" spans="1:11" x14ac:dyDescent="0.25">
      <c r="B38" s="27"/>
    </row>
    <row r="39" spans="1:11" x14ac:dyDescent="0.25">
      <c r="A39" s="27"/>
    </row>
  </sheetData>
  <phoneticPr fontId="2" type="noConversion"/>
  <pageMargins left="0.25" right="0.25" top="0.75" bottom="0.75" header="0.3" footer="0.3"/>
  <pageSetup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2"/>
  <sheetViews>
    <sheetView topLeftCell="A49" zoomScaleNormal="100" workbookViewId="0">
      <selection activeCell="M18" sqref="M18"/>
    </sheetView>
  </sheetViews>
  <sheetFormatPr defaultRowHeight="13.2" x14ac:dyDescent="0.25"/>
  <cols>
    <col min="1" max="1" width="23.6640625" customWidth="1"/>
    <col min="2" max="2" width="31.109375" customWidth="1"/>
    <col min="3" max="4" width="11.6640625" customWidth="1"/>
    <col min="5" max="5" width="11.5546875" customWidth="1"/>
    <col min="6" max="9" width="11.6640625" customWidth="1"/>
  </cols>
  <sheetData>
    <row r="1" spans="1:9" ht="15.6" x14ac:dyDescent="0.3">
      <c r="B1" s="14" t="s">
        <v>1</v>
      </c>
      <c r="C1" s="1">
        <v>2020</v>
      </c>
      <c r="D1" s="1">
        <v>2019</v>
      </c>
      <c r="E1" s="42">
        <v>2019</v>
      </c>
      <c r="F1" s="42">
        <v>2018</v>
      </c>
      <c r="G1" s="42">
        <v>2018</v>
      </c>
      <c r="H1" s="42">
        <v>2017</v>
      </c>
      <c r="I1" s="42">
        <v>2016</v>
      </c>
    </row>
    <row r="2" spans="1:9" x14ac:dyDescent="0.25">
      <c r="A2" t="s">
        <v>40</v>
      </c>
      <c r="C2" s="1" t="s">
        <v>506</v>
      </c>
      <c r="D2" s="1" t="s">
        <v>1206</v>
      </c>
      <c r="E2" s="42" t="s">
        <v>506</v>
      </c>
      <c r="F2" s="42" t="s">
        <v>807</v>
      </c>
      <c r="G2" s="42" t="s">
        <v>506</v>
      </c>
      <c r="H2" s="42" t="s">
        <v>807</v>
      </c>
      <c r="I2" s="42" t="s">
        <v>807</v>
      </c>
    </row>
    <row r="4" spans="1:9" x14ac:dyDescent="0.25">
      <c r="A4" t="s">
        <v>1234</v>
      </c>
      <c r="B4" t="s">
        <v>1235</v>
      </c>
      <c r="C4" s="10">
        <v>0</v>
      </c>
      <c r="D4" s="10">
        <v>0</v>
      </c>
      <c r="E4" s="10">
        <v>0</v>
      </c>
      <c r="F4" s="10">
        <v>71934.64</v>
      </c>
      <c r="G4" s="10">
        <v>0</v>
      </c>
      <c r="H4" s="10">
        <v>0</v>
      </c>
      <c r="I4" s="10">
        <v>0</v>
      </c>
    </row>
    <row r="5" spans="1:9" x14ac:dyDescent="0.25">
      <c r="A5" s="13" t="s">
        <v>561</v>
      </c>
      <c r="B5" s="13" t="s">
        <v>562</v>
      </c>
      <c r="C5" s="21">
        <v>0</v>
      </c>
      <c r="D5" s="21">
        <v>3000</v>
      </c>
      <c r="E5" s="21">
        <v>0</v>
      </c>
      <c r="F5" s="21">
        <v>0</v>
      </c>
      <c r="G5" s="21">
        <v>0</v>
      </c>
      <c r="H5" s="21">
        <v>150</v>
      </c>
      <c r="I5" s="10">
        <v>1050</v>
      </c>
    </row>
    <row r="6" spans="1:9" x14ac:dyDescent="0.25">
      <c r="A6" s="13" t="s">
        <v>563</v>
      </c>
      <c r="B6" t="s">
        <v>478</v>
      </c>
      <c r="C6" s="10">
        <f>F6*1.04</f>
        <v>1714837.9768000001</v>
      </c>
      <c r="D6" s="10">
        <v>1496817.46</v>
      </c>
      <c r="E6" s="10">
        <f>H6*1.04</f>
        <v>1741910.6016000002</v>
      </c>
      <c r="F6" s="10">
        <v>1648882.67</v>
      </c>
      <c r="G6" s="10">
        <f>I6*1.04</f>
        <v>1954863.1128000002</v>
      </c>
      <c r="H6" s="10">
        <v>1674914.04</v>
      </c>
      <c r="I6" s="10">
        <v>1879676.07</v>
      </c>
    </row>
    <row r="7" spans="1:9" x14ac:dyDescent="0.25">
      <c r="A7" t="s">
        <v>153</v>
      </c>
      <c r="B7" t="s">
        <v>24</v>
      </c>
      <c r="C7" s="10">
        <v>6000</v>
      </c>
      <c r="D7" s="10">
        <v>5382.85</v>
      </c>
      <c r="E7" s="10">
        <v>6000</v>
      </c>
      <c r="F7" s="10">
        <v>5780.65</v>
      </c>
      <c r="G7" s="10">
        <v>6000</v>
      </c>
      <c r="H7" s="10">
        <v>5775.26</v>
      </c>
      <c r="I7" s="10">
        <v>6103.8</v>
      </c>
    </row>
    <row r="8" spans="1:9" x14ac:dyDescent="0.25">
      <c r="A8" s="27" t="s">
        <v>684</v>
      </c>
      <c r="B8" s="27" t="s">
        <v>478</v>
      </c>
      <c r="C8" s="57">
        <v>2000</v>
      </c>
      <c r="D8" s="57">
        <v>2844</v>
      </c>
      <c r="E8" s="57">
        <v>2000</v>
      </c>
      <c r="F8" s="57">
        <v>2422.66</v>
      </c>
      <c r="G8" s="57">
        <v>2000</v>
      </c>
      <c r="H8" s="57">
        <v>972</v>
      </c>
      <c r="I8" s="10">
        <v>1745</v>
      </c>
    </row>
    <row r="9" spans="1:9" x14ac:dyDescent="0.25">
      <c r="A9" s="27" t="s">
        <v>685</v>
      </c>
      <c r="B9" s="27" t="s">
        <v>686</v>
      </c>
      <c r="C9" s="57">
        <v>15000</v>
      </c>
      <c r="D9" s="57">
        <v>16431.060000000001</v>
      </c>
      <c r="E9" s="57">
        <v>2500</v>
      </c>
      <c r="F9" s="57">
        <v>11224.77</v>
      </c>
      <c r="G9" s="57">
        <v>2500</v>
      </c>
      <c r="H9" s="57">
        <v>4165.8999999999996</v>
      </c>
      <c r="I9" s="10">
        <v>4234.12</v>
      </c>
    </row>
    <row r="10" spans="1:9" x14ac:dyDescent="0.25">
      <c r="A10" t="s">
        <v>600</v>
      </c>
      <c r="B10" t="s">
        <v>154</v>
      </c>
      <c r="C10" s="10">
        <v>0</v>
      </c>
      <c r="D10" s="10">
        <v>0</v>
      </c>
      <c r="E10" s="10">
        <v>0</v>
      </c>
      <c r="F10" s="57">
        <v>13</v>
      </c>
      <c r="G10" s="10">
        <v>0</v>
      </c>
      <c r="H10" s="10">
        <v>0</v>
      </c>
      <c r="I10" s="10">
        <v>0</v>
      </c>
    </row>
    <row r="11" spans="1:9" x14ac:dyDescent="0.25">
      <c r="A11" s="27" t="s">
        <v>687</v>
      </c>
      <c r="B11" s="27" t="s">
        <v>688</v>
      </c>
      <c r="C11" s="57">
        <v>0</v>
      </c>
      <c r="D11" s="57">
        <v>12</v>
      </c>
      <c r="E11" s="57">
        <v>0</v>
      </c>
      <c r="F11" s="57">
        <v>-130.37</v>
      </c>
      <c r="G11" s="57">
        <v>0</v>
      </c>
      <c r="H11" s="57">
        <v>10.51</v>
      </c>
      <c r="I11" s="10">
        <v>0.72</v>
      </c>
    </row>
    <row r="12" spans="1:9" x14ac:dyDescent="0.25">
      <c r="A12" s="27" t="s">
        <v>564</v>
      </c>
      <c r="B12" s="27" t="s">
        <v>1203</v>
      </c>
      <c r="C12" s="57">
        <v>9091</v>
      </c>
      <c r="D12" s="57">
        <v>0</v>
      </c>
      <c r="E12" s="57">
        <v>9091.4</v>
      </c>
      <c r="F12" s="57">
        <v>9091.4</v>
      </c>
      <c r="G12" s="57">
        <v>0</v>
      </c>
      <c r="H12" s="57">
        <v>0</v>
      </c>
      <c r="I12" s="10">
        <v>0</v>
      </c>
    </row>
    <row r="13" spans="1:9" x14ac:dyDescent="0.25">
      <c r="A13" s="13" t="s">
        <v>564</v>
      </c>
      <c r="B13" s="27" t="s">
        <v>690</v>
      </c>
      <c r="C13" s="173">
        <v>18000</v>
      </c>
      <c r="D13" s="57">
        <v>16275.67</v>
      </c>
      <c r="E13" s="57">
        <v>0</v>
      </c>
      <c r="F13" s="57">
        <v>16949</v>
      </c>
      <c r="G13" s="57">
        <v>0</v>
      </c>
      <c r="H13" s="57">
        <v>16746.349999999999</v>
      </c>
      <c r="I13" s="10">
        <v>8740.7800000000007</v>
      </c>
    </row>
    <row r="14" spans="1:9" x14ac:dyDescent="0.25">
      <c r="A14" s="27" t="s">
        <v>689</v>
      </c>
      <c r="B14" s="27" t="s">
        <v>668</v>
      </c>
      <c r="C14" s="57"/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10">
        <v>246.06</v>
      </c>
    </row>
    <row r="15" spans="1:9" x14ac:dyDescent="0.25">
      <c r="A15" s="27"/>
      <c r="B15" s="27" t="s">
        <v>1146</v>
      </c>
      <c r="C15" s="57">
        <v>0</v>
      </c>
      <c r="D15" s="57">
        <v>0</v>
      </c>
      <c r="E15" s="57"/>
      <c r="F15" s="57">
        <v>75000</v>
      </c>
      <c r="G15" s="57"/>
      <c r="H15" s="57"/>
      <c r="I15" s="10"/>
    </row>
    <row r="16" spans="1:9" x14ac:dyDescent="0.25">
      <c r="A16" s="27"/>
      <c r="B16" s="27" t="s">
        <v>1147</v>
      </c>
      <c r="C16" s="57">
        <v>0</v>
      </c>
      <c r="D16" s="57">
        <v>0</v>
      </c>
      <c r="E16" s="57"/>
      <c r="F16" s="57">
        <v>176231</v>
      </c>
      <c r="G16" s="57"/>
      <c r="H16" s="57"/>
      <c r="I16" s="10"/>
    </row>
    <row r="17" spans="1:9" x14ac:dyDescent="0.25">
      <c r="A17" s="27"/>
      <c r="B17" s="27" t="s">
        <v>960</v>
      </c>
      <c r="C17" s="173">
        <v>71376</v>
      </c>
      <c r="D17" s="57">
        <v>0</v>
      </c>
      <c r="E17" s="57">
        <v>144800</v>
      </c>
      <c r="F17" s="57">
        <v>0</v>
      </c>
      <c r="G17" s="57">
        <v>67000</v>
      </c>
      <c r="H17" s="57">
        <v>0</v>
      </c>
      <c r="I17" s="10">
        <v>0</v>
      </c>
    </row>
    <row r="18" spans="1:9" x14ac:dyDescent="0.25">
      <c r="A18" s="27"/>
      <c r="B18" s="27" t="s">
        <v>1236</v>
      </c>
      <c r="C18" s="57">
        <v>0</v>
      </c>
      <c r="D18" s="57">
        <v>0</v>
      </c>
      <c r="E18" s="57">
        <v>0</v>
      </c>
      <c r="F18" s="57">
        <v>286526.61</v>
      </c>
      <c r="G18" s="57">
        <v>0</v>
      </c>
      <c r="H18" s="57">
        <v>0</v>
      </c>
      <c r="I18" s="10">
        <v>0</v>
      </c>
    </row>
    <row r="19" spans="1:9" x14ac:dyDescent="0.25">
      <c r="C19" s="10"/>
      <c r="D19" s="10"/>
      <c r="E19" s="10"/>
      <c r="F19" s="10"/>
      <c r="G19" s="10"/>
      <c r="H19" s="10"/>
      <c r="I19" s="10"/>
    </row>
    <row r="20" spans="1:9" x14ac:dyDescent="0.25">
      <c r="B20" s="25" t="s">
        <v>58</v>
      </c>
      <c r="C20" s="24">
        <f>SUM(C4:C18)</f>
        <v>1836304.9768000001</v>
      </c>
      <c r="D20" s="24">
        <f>SUM(D5:D17)</f>
        <v>1540763.04</v>
      </c>
      <c r="E20" s="24">
        <f>SUM(E5:E17)</f>
        <v>1906302.0016000001</v>
      </c>
      <c r="F20" s="24">
        <f>SUM(F4:F19)</f>
        <v>2303926.0299999993</v>
      </c>
      <c r="G20" s="24">
        <f>SUM(G5:G17)</f>
        <v>2032363.1128000002</v>
      </c>
      <c r="H20" s="24">
        <f>SUM(H5:H19)</f>
        <v>1702734.06</v>
      </c>
      <c r="I20" s="10">
        <f>SUM(I5:I19)</f>
        <v>1901796.5500000003</v>
      </c>
    </row>
    <row r="21" spans="1:9" x14ac:dyDescent="0.25">
      <c r="A21" t="s">
        <v>79</v>
      </c>
      <c r="C21" s="10"/>
      <c r="D21" s="10"/>
      <c r="E21" s="10"/>
      <c r="G21" s="10"/>
      <c r="H21" s="10"/>
      <c r="I21" s="10"/>
    </row>
    <row r="22" spans="1:9" x14ac:dyDescent="0.25">
      <c r="A22" t="s">
        <v>192</v>
      </c>
      <c r="C22" s="10"/>
      <c r="D22" s="10"/>
      <c r="E22" s="10"/>
      <c r="G22" s="10"/>
      <c r="H22" s="10"/>
      <c r="I22" s="10"/>
    </row>
    <row r="23" spans="1:9" x14ac:dyDescent="0.25">
      <c r="A23" t="s">
        <v>351</v>
      </c>
      <c r="B23" t="s">
        <v>98</v>
      </c>
      <c r="C23" s="10">
        <v>77812.800000000003</v>
      </c>
      <c r="D23" s="10">
        <v>69597.119999999995</v>
      </c>
      <c r="E23" s="10">
        <f>35.61*2080</f>
        <v>74068.800000000003</v>
      </c>
      <c r="F23" s="10">
        <v>72851.27</v>
      </c>
      <c r="G23" s="10">
        <v>71905.600000000006</v>
      </c>
      <c r="H23" s="10">
        <v>70464.42</v>
      </c>
      <c r="I23" s="10">
        <v>62111.51</v>
      </c>
    </row>
    <row r="24" spans="1:9" x14ac:dyDescent="0.25">
      <c r="A24" t="s">
        <v>352</v>
      </c>
      <c r="B24" t="s">
        <v>99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</row>
    <row r="25" spans="1:9" x14ac:dyDescent="0.25">
      <c r="A25" s="27" t="s">
        <v>682</v>
      </c>
      <c r="B25" s="27" t="s">
        <v>649</v>
      </c>
      <c r="C25" s="57">
        <v>3000</v>
      </c>
      <c r="D25" s="57">
        <v>3026.67</v>
      </c>
      <c r="E25" s="57">
        <v>3000</v>
      </c>
      <c r="F25" s="57">
        <v>3493.75</v>
      </c>
      <c r="G25" s="57">
        <v>3000</v>
      </c>
      <c r="H25" s="57">
        <v>1817.58</v>
      </c>
      <c r="I25" s="10">
        <v>2755.6</v>
      </c>
    </row>
    <row r="26" spans="1:9" x14ac:dyDescent="0.25">
      <c r="A26" t="s">
        <v>188</v>
      </c>
      <c r="C26" s="10"/>
      <c r="D26" s="10"/>
      <c r="E26" s="10"/>
      <c r="F26" s="10"/>
      <c r="G26" s="10"/>
      <c r="H26" s="10"/>
      <c r="I26" s="10"/>
    </row>
    <row r="27" spans="1:9" x14ac:dyDescent="0.25">
      <c r="A27" t="s">
        <v>353</v>
      </c>
      <c r="B27" t="s">
        <v>190</v>
      </c>
      <c r="C27" s="10">
        <f>0.075*SUM(C23:C25)</f>
        <v>6060.96</v>
      </c>
      <c r="D27" s="10">
        <v>5446.77</v>
      </c>
      <c r="E27" s="10">
        <f>0.075*SUM(E23:E25)</f>
        <v>5780.16</v>
      </c>
      <c r="F27" s="10">
        <v>5695.54</v>
      </c>
      <c r="G27" s="10">
        <f>SUM(G23:G25)*0.075</f>
        <v>5617.92</v>
      </c>
      <c r="H27" s="10">
        <v>5414.75</v>
      </c>
      <c r="I27" s="10">
        <v>5157.2700000000004</v>
      </c>
    </row>
    <row r="28" spans="1:9" x14ac:dyDescent="0.25">
      <c r="A28" t="s">
        <v>354</v>
      </c>
      <c r="B28" t="s">
        <v>82</v>
      </c>
      <c r="C28" s="10">
        <f>0.062*SUM(C23:C25)</f>
        <v>5010.3936000000003</v>
      </c>
      <c r="D28" s="10">
        <v>4502.63</v>
      </c>
      <c r="E28" s="10">
        <f>0.062*SUM(E23:E25)</f>
        <v>4778.2655999999997</v>
      </c>
      <c r="F28" s="10">
        <v>4708.3599999999997</v>
      </c>
      <c r="G28" s="10">
        <f>0.062*SUM(G23:G25)</f>
        <v>4644.1472000000003</v>
      </c>
      <c r="H28" s="10">
        <v>4476.25</v>
      </c>
      <c r="I28" s="10">
        <v>4263.12</v>
      </c>
    </row>
    <row r="29" spans="1:9" x14ac:dyDescent="0.25">
      <c r="A29" t="s">
        <v>355</v>
      </c>
      <c r="B29" t="s">
        <v>84</v>
      </c>
      <c r="C29" s="10">
        <f>0.0145*SUM(C23:C25)</f>
        <v>1171.7856000000002</v>
      </c>
      <c r="D29" s="10">
        <v>1053.1099999999999</v>
      </c>
      <c r="E29" s="10">
        <f>0.0145*SUM(E23:E25)</f>
        <v>1117.4976000000001</v>
      </c>
      <c r="F29" s="10">
        <v>1101.26</v>
      </c>
      <c r="G29" s="10">
        <f>0.0145*SUM(G23:G25)</f>
        <v>1086.1312</v>
      </c>
      <c r="H29" s="10">
        <v>1046.76</v>
      </c>
      <c r="I29" s="10">
        <v>996.69</v>
      </c>
    </row>
    <row r="30" spans="1:9" x14ac:dyDescent="0.25">
      <c r="A30" t="s">
        <v>183</v>
      </c>
      <c r="C30" s="10"/>
      <c r="D30" s="10"/>
      <c r="E30" s="10"/>
      <c r="F30" s="10"/>
      <c r="G30" s="10"/>
      <c r="H30" s="10"/>
      <c r="I30" s="10"/>
    </row>
    <row r="31" spans="1:9" x14ac:dyDescent="0.25">
      <c r="A31" t="s">
        <v>356</v>
      </c>
      <c r="B31" t="s">
        <v>185</v>
      </c>
      <c r="C31" s="10">
        <v>22800</v>
      </c>
      <c r="D31" s="10">
        <v>7801.64</v>
      </c>
      <c r="E31" s="10">
        <v>11400</v>
      </c>
      <c r="F31" s="10">
        <v>8253.06</v>
      </c>
      <c r="G31" s="10">
        <f>900*12</f>
        <v>10800</v>
      </c>
      <c r="H31" s="10">
        <v>9636</v>
      </c>
      <c r="I31" s="10">
        <v>8833</v>
      </c>
    </row>
    <row r="32" spans="1:9" x14ac:dyDescent="0.25">
      <c r="A32" t="s">
        <v>357</v>
      </c>
      <c r="B32" t="s">
        <v>187</v>
      </c>
      <c r="C32" s="10">
        <v>795</v>
      </c>
      <c r="D32" s="10">
        <v>702.92</v>
      </c>
      <c r="E32" s="10">
        <v>765</v>
      </c>
      <c r="F32" s="10">
        <v>741.99</v>
      </c>
      <c r="G32" s="10">
        <f>61.22*12</f>
        <v>734.64</v>
      </c>
      <c r="H32" s="10">
        <v>711.14</v>
      </c>
      <c r="I32" s="10">
        <v>629.1</v>
      </c>
    </row>
    <row r="33" spans="1:11" x14ac:dyDescent="0.25">
      <c r="A33" t="s">
        <v>43</v>
      </c>
      <c r="C33" s="10"/>
      <c r="D33" s="10"/>
      <c r="E33" s="10"/>
      <c r="F33" s="10"/>
      <c r="G33" s="10"/>
      <c r="H33" s="10"/>
      <c r="I33" s="10"/>
    </row>
    <row r="34" spans="1:11" x14ac:dyDescent="0.25">
      <c r="A34" t="s">
        <v>358</v>
      </c>
      <c r="B34" t="s">
        <v>182</v>
      </c>
      <c r="C34" s="10">
        <v>7000</v>
      </c>
      <c r="D34" s="10">
        <v>6938</v>
      </c>
      <c r="E34" s="10">
        <v>3200</v>
      </c>
      <c r="F34" s="10">
        <v>3228</v>
      </c>
      <c r="G34" s="10">
        <v>3000</v>
      </c>
      <c r="H34" s="10">
        <v>3165.7</v>
      </c>
      <c r="I34" s="10">
        <v>2755</v>
      </c>
    </row>
    <row r="35" spans="1:11" x14ac:dyDescent="0.25">
      <c r="A35" s="13" t="s">
        <v>33</v>
      </c>
      <c r="C35" s="10"/>
      <c r="D35" s="10"/>
      <c r="E35" s="10"/>
      <c r="F35" s="10"/>
      <c r="G35" s="10"/>
      <c r="H35" s="10"/>
      <c r="I35" s="10"/>
    </row>
    <row r="36" spans="1:11" x14ac:dyDescent="0.25">
      <c r="A36" t="s">
        <v>359</v>
      </c>
      <c r="B36" t="s">
        <v>36</v>
      </c>
      <c r="C36" s="10">
        <v>1500</v>
      </c>
      <c r="D36" s="10">
        <v>1032.96</v>
      </c>
      <c r="E36" s="10">
        <v>1500</v>
      </c>
      <c r="F36" s="10">
        <v>1076.33</v>
      </c>
      <c r="G36" s="10">
        <v>2000</v>
      </c>
      <c r="H36" s="10">
        <v>1023.24</v>
      </c>
      <c r="I36" s="10">
        <v>1406.66</v>
      </c>
    </row>
    <row r="37" spans="1:11" x14ac:dyDescent="0.25">
      <c r="A37" t="s">
        <v>360</v>
      </c>
      <c r="B37" t="s">
        <v>37</v>
      </c>
      <c r="C37" s="10">
        <v>1000</v>
      </c>
      <c r="D37" s="10">
        <v>95.42</v>
      </c>
      <c r="E37" s="10">
        <v>1000</v>
      </c>
      <c r="F37" s="10">
        <v>1625.79</v>
      </c>
      <c r="G37" s="10">
        <v>500</v>
      </c>
      <c r="H37" s="10">
        <v>47.71</v>
      </c>
      <c r="I37" s="10">
        <v>762.4</v>
      </c>
    </row>
    <row r="38" spans="1:11" x14ac:dyDescent="0.25">
      <c r="A38" t="s">
        <v>361</v>
      </c>
      <c r="B38" t="s">
        <v>42</v>
      </c>
      <c r="C38" s="10">
        <v>600</v>
      </c>
      <c r="D38" s="10">
        <v>323.72000000000003</v>
      </c>
      <c r="E38" s="10">
        <v>600</v>
      </c>
      <c r="F38" s="10">
        <v>379.64</v>
      </c>
      <c r="G38" s="10">
        <v>600</v>
      </c>
      <c r="H38" s="10">
        <v>610.23</v>
      </c>
      <c r="I38" s="10">
        <v>649.58000000000004</v>
      </c>
    </row>
    <row r="39" spans="1:11" x14ac:dyDescent="0.25">
      <c r="A39" t="s">
        <v>149</v>
      </c>
      <c r="C39" s="10"/>
      <c r="D39" s="10"/>
      <c r="E39" s="10"/>
      <c r="F39" s="10"/>
      <c r="G39" s="10"/>
      <c r="H39" s="10"/>
      <c r="I39" s="10"/>
    </row>
    <row r="40" spans="1:11" x14ac:dyDescent="0.25">
      <c r="A40" t="s">
        <v>362</v>
      </c>
      <c r="B40" t="s">
        <v>152</v>
      </c>
      <c r="C40" s="10">
        <v>1500</v>
      </c>
      <c r="D40" s="10">
        <v>606.89</v>
      </c>
      <c r="E40" s="10">
        <v>1500</v>
      </c>
      <c r="F40" s="10">
        <v>750.01</v>
      </c>
      <c r="G40" s="10">
        <v>2000</v>
      </c>
      <c r="H40" s="10">
        <v>1070.7</v>
      </c>
      <c r="I40" s="10">
        <v>1037.98</v>
      </c>
    </row>
    <row r="41" spans="1:11" x14ac:dyDescent="0.25">
      <c r="A41" t="s">
        <v>363</v>
      </c>
      <c r="B41" t="s">
        <v>32</v>
      </c>
      <c r="C41" s="10">
        <v>5000</v>
      </c>
      <c r="D41" s="10">
        <v>6860.41</v>
      </c>
      <c r="E41" s="10">
        <v>6000</v>
      </c>
      <c r="F41" s="10">
        <v>11670.93</v>
      </c>
      <c r="G41" s="10">
        <v>4000</v>
      </c>
      <c r="H41" s="10">
        <v>6876.85</v>
      </c>
      <c r="I41" s="10">
        <v>4101.66</v>
      </c>
    </row>
    <row r="42" spans="1:11" x14ac:dyDescent="0.25">
      <c r="A42" t="s">
        <v>23</v>
      </c>
      <c r="C42" s="10"/>
      <c r="D42" s="10"/>
      <c r="E42" s="10"/>
      <c r="F42" s="10"/>
      <c r="G42" s="10"/>
      <c r="H42" s="10"/>
      <c r="I42" s="10"/>
    </row>
    <row r="43" spans="1:11" x14ac:dyDescent="0.25">
      <c r="A43" t="s">
        <v>364</v>
      </c>
      <c r="B43" t="s">
        <v>141</v>
      </c>
      <c r="C43" s="10">
        <v>6000</v>
      </c>
      <c r="D43" s="10">
        <v>17107.64</v>
      </c>
      <c r="E43" s="10">
        <v>8000</v>
      </c>
      <c r="F43" s="10">
        <v>21314.02</v>
      </c>
      <c r="G43" s="10">
        <v>6000</v>
      </c>
      <c r="H43" s="10">
        <v>14542.92</v>
      </c>
      <c r="I43" s="10">
        <v>9160.2900000000009</v>
      </c>
    </row>
    <row r="44" spans="1:11" x14ac:dyDescent="0.25">
      <c r="A44" t="s">
        <v>365</v>
      </c>
      <c r="B44" t="s">
        <v>147</v>
      </c>
      <c r="C44" s="10">
        <v>500</v>
      </c>
      <c r="D44" s="10">
        <f>150+210</f>
        <v>360</v>
      </c>
      <c r="E44" s="10">
        <v>1000</v>
      </c>
      <c r="F44" s="10">
        <v>0</v>
      </c>
      <c r="G44" s="10">
        <v>1000</v>
      </c>
      <c r="H44" s="10">
        <v>210</v>
      </c>
      <c r="I44" s="10">
        <v>210</v>
      </c>
    </row>
    <row r="45" spans="1:11" x14ac:dyDescent="0.25">
      <c r="A45" t="s">
        <v>366</v>
      </c>
      <c r="B45" t="s">
        <v>148</v>
      </c>
      <c r="C45" s="10">
        <v>500</v>
      </c>
      <c r="D45" s="10">
        <v>695.09</v>
      </c>
      <c r="E45" s="10">
        <v>500</v>
      </c>
      <c r="F45" s="10">
        <v>127.99</v>
      </c>
      <c r="G45" s="10">
        <v>500</v>
      </c>
      <c r="H45" s="10">
        <v>232.48</v>
      </c>
      <c r="I45" s="10">
        <v>327.45</v>
      </c>
      <c r="K45" s="27"/>
    </row>
    <row r="46" spans="1:11" x14ac:dyDescent="0.25">
      <c r="A46" t="s">
        <v>6</v>
      </c>
      <c r="C46" s="10"/>
      <c r="D46" s="10"/>
      <c r="E46" s="10"/>
      <c r="F46" s="10"/>
      <c r="G46" s="10"/>
      <c r="H46" s="10"/>
      <c r="I46" s="10"/>
    </row>
    <row r="47" spans="1:11" x14ac:dyDescent="0.25">
      <c r="A47" t="s">
        <v>367</v>
      </c>
      <c r="B47" t="s">
        <v>8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1:11" x14ac:dyDescent="0.25">
      <c r="A48" t="s">
        <v>368</v>
      </c>
      <c r="B48" t="s">
        <v>10</v>
      </c>
      <c r="C48" s="10">
        <v>5000</v>
      </c>
      <c r="D48" s="10">
        <v>186.3</v>
      </c>
      <c r="E48" s="10">
        <v>5000</v>
      </c>
      <c r="F48" s="10">
        <v>758.05</v>
      </c>
      <c r="G48" s="10">
        <v>5000</v>
      </c>
      <c r="H48" s="10">
        <v>510.8</v>
      </c>
      <c r="I48" s="10">
        <v>3592.76</v>
      </c>
    </row>
    <row r="49" spans="1:9" x14ac:dyDescent="0.25">
      <c r="A49" t="s">
        <v>369</v>
      </c>
      <c r="B49" t="s">
        <v>14</v>
      </c>
      <c r="C49" s="10">
        <v>6000</v>
      </c>
      <c r="D49" s="10">
        <v>11281.24</v>
      </c>
      <c r="E49" s="10">
        <v>6000</v>
      </c>
      <c r="F49" s="10">
        <v>9379</v>
      </c>
      <c r="G49" s="10">
        <v>6000</v>
      </c>
      <c r="H49" s="10">
        <v>9454</v>
      </c>
      <c r="I49" s="10">
        <v>10067.030000000001</v>
      </c>
    </row>
    <row r="50" spans="1:9" x14ac:dyDescent="0.25">
      <c r="A50" t="s">
        <v>5</v>
      </c>
      <c r="C50" s="10"/>
      <c r="D50" s="10"/>
      <c r="E50" s="10"/>
      <c r="F50" s="10"/>
      <c r="G50" s="10"/>
      <c r="H50" s="10"/>
      <c r="I50" s="10"/>
    </row>
    <row r="51" spans="1:9" x14ac:dyDescent="0.25">
      <c r="A51" t="s">
        <v>370</v>
      </c>
      <c r="B51" t="s">
        <v>89</v>
      </c>
      <c r="C51" s="10">
        <v>1000</v>
      </c>
      <c r="D51" s="10">
        <v>431.41</v>
      </c>
      <c r="E51" s="10">
        <v>1000</v>
      </c>
      <c r="F51" s="10">
        <v>543.57000000000005</v>
      </c>
      <c r="G51" s="10">
        <v>1000</v>
      </c>
      <c r="H51" s="10">
        <v>506.91</v>
      </c>
      <c r="I51" s="10">
        <v>409.15</v>
      </c>
    </row>
    <row r="52" spans="1:9" x14ac:dyDescent="0.25">
      <c r="A52" t="s">
        <v>371</v>
      </c>
      <c r="B52" t="s">
        <v>90</v>
      </c>
      <c r="C52" s="10">
        <v>7000</v>
      </c>
      <c r="D52" s="10">
        <v>3063.92</v>
      </c>
      <c r="E52" s="10">
        <v>7000</v>
      </c>
      <c r="F52" s="10">
        <v>7051.26</v>
      </c>
      <c r="G52" s="10">
        <v>7000</v>
      </c>
      <c r="H52" s="10">
        <v>6175.45</v>
      </c>
      <c r="I52" s="10">
        <v>5966.53</v>
      </c>
    </row>
    <row r="53" spans="1:9" x14ac:dyDescent="0.25">
      <c r="A53" t="s">
        <v>134</v>
      </c>
      <c r="C53" s="10"/>
      <c r="D53" s="10"/>
      <c r="E53" s="10"/>
      <c r="F53" s="10"/>
      <c r="G53" s="10"/>
      <c r="H53" s="10"/>
      <c r="I53" s="10"/>
    </row>
    <row r="54" spans="1:9" x14ac:dyDescent="0.25">
      <c r="A54" s="27" t="s">
        <v>1070</v>
      </c>
      <c r="B54" s="27" t="s">
        <v>137</v>
      </c>
      <c r="C54" s="57">
        <v>0</v>
      </c>
      <c r="D54" s="57">
        <v>0</v>
      </c>
      <c r="E54" s="57">
        <v>0</v>
      </c>
      <c r="F54" s="57">
        <v>0</v>
      </c>
      <c r="G54" s="10">
        <v>0</v>
      </c>
      <c r="H54" s="10">
        <v>26</v>
      </c>
      <c r="I54" s="10">
        <v>0</v>
      </c>
    </row>
    <row r="55" spans="1:9" x14ac:dyDescent="0.25">
      <c r="A55" s="27" t="s">
        <v>787</v>
      </c>
      <c r="B55" s="27" t="s">
        <v>135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20</v>
      </c>
      <c r="I55" s="10">
        <v>0</v>
      </c>
    </row>
    <row r="56" spans="1:9" x14ac:dyDescent="0.25">
      <c r="A56" t="s">
        <v>128</v>
      </c>
      <c r="C56" s="10"/>
      <c r="D56" s="10"/>
      <c r="E56" s="10"/>
      <c r="F56" s="10"/>
      <c r="G56" s="10"/>
      <c r="H56" s="10"/>
      <c r="I56" s="10"/>
    </row>
    <row r="57" spans="1:9" x14ac:dyDescent="0.25">
      <c r="A57" t="s">
        <v>372</v>
      </c>
      <c r="B57" t="s">
        <v>86</v>
      </c>
      <c r="C57" s="10">
        <v>1000</v>
      </c>
      <c r="D57" s="10">
        <v>774.38</v>
      </c>
      <c r="E57" s="10">
        <v>1000</v>
      </c>
      <c r="F57" s="10">
        <v>769.38</v>
      </c>
      <c r="G57" s="10">
        <v>3000</v>
      </c>
      <c r="H57" s="10">
        <v>726.75</v>
      </c>
      <c r="I57" s="10">
        <v>560</v>
      </c>
    </row>
    <row r="58" spans="1:9" x14ac:dyDescent="0.25">
      <c r="A58" t="s">
        <v>373</v>
      </c>
      <c r="B58" t="s">
        <v>130</v>
      </c>
      <c r="C58" s="10">
        <v>2500</v>
      </c>
      <c r="D58" s="10">
        <v>2940</v>
      </c>
      <c r="E58" s="10">
        <v>2000</v>
      </c>
      <c r="F58" s="10">
        <v>2348</v>
      </c>
      <c r="G58" s="10">
        <v>1900</v>
      </c>
      <c r="H58" s="10">
        <v>2212.5</v>
      </c>
      <c r="I58" s="10">
        <v>1707.5</v>
      </c>
    </row>
    <row r="59" spans="1:9" x14ac:dyDescent="0.25">
      <c r="A59" t="s">
        <v>374</v>
      </c>
      <c r="B59" t="s">
        <v>131</v>
      </c>
      <c r="C59" s="10">
        <v>1000</v>
      </c>
      <c r="D59" s="10">
        <v>1059</v>
      </c>
      <c r="E59" s="10">
        <v>1000</v>
      </c>
      <c r="F59" s="10">
        <v>912</v>
      </c>
      <c r="G59" s="10">
        <v>1000</v>
      </c>
      <c r="H59" s="10">
        <v>940</v>
      </c>
      <c r="I59" s="10">
        <v>669</v>
      </c>
    </row>
    <row r="60" spans="1:9" x14ac:dyDescent="0.25">
      <c r="A60" t="s">
        <v>121</v>
      </c>
      <c r="C60" s="10"/>
      <c r="D60" s="10"/>
      <c r="E60" s="10"/>
      <c r="F60" s="10"/>
      <c r="G60" s="10"/>
      <c r="H60" s="10"/>
      <c r="I60" s="10"/>
    </row>
    <row r="61" spans="1:9" x14ac:dyDescent="0.25">
      <c r="A61" s="27" t="s">
        <v>1119</v>
      </c>
      <c r="B61" s="27" t="s">
        <v>122</v>
      </c>
      <c r="C61" s="57">
        <v>0</v>
      </c>
      <c r="D61" s="57">
        <v>0</v>
      </c>
      <c r="E61" s="10">
        <v>0</v>
      </c>
      <c r="F61" s="10">
        <v>210</v>
      </c>
      <c r="G61" s="10">
        <v>0</v>
      </c>
      <c r="H61" s="10">
        <v>0</v>
      </c>
      <c r="I61" s="10">
        <v>0</v>
      </c>
    </row>
    <row r="62" spans="1:9" x14ac:dyDescent="0.25">
      <c r="A62" t="s">
        <v>642</v>
      </c>
      <c r="B62" t="s">
        <v>124</v>
      </c>
      <c r="C62" s="10">
        <v>8000</v>
      </c>
      <c r="D62" s="10">
        <v>4133.53</v>
      </c>
      <c r="E62" s="10">
        <v>8000</v>
      </c>
      <c r="F62" s="10">
        <v>4710.1499999999996</v>
      </c>
      <c r="G62" s="10">
        <v>8000</v>
      </c>
      <c r="H62" s="10">
        <v>3786.77</v>
      </c>
      <c r="I62" s="10">
        <v>3962.38</v>
      </c>
    </row>
    <row r="63" spans="1:9" x14ac:dyDescent="0.25">
      <c r="A63" s="27" t="s">
        <v>660</v>
      </c>
      <c r="B63" s="27" t="s">
        <v>125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10">
        <v>30</v>
      </c>
    </row>
    <row r="64" spans="1:9" x14ac:dyDescent="0.25">
      <c r="A64" s="27" t="s">
        <v>1103</v>
      </c>
      <c r="B64" s="27" t="s">
        <v>108</v>
      </c>
      <c r="C64" s="57">
        <v>0</v>
      </c>
      <c r="D64" s="57">
        <v>0</v>
      </c>
      <c r="E64" s="57">
        <v>0</v>
      </c>
      <c r="F64" s="57">
        <v>7301</v>
      </c>
      <c r="G64" s="57">
        <v>0</v>
      </c>
      <c r="H64" s="57">
        <v>0</v>
      </c>
      <c r="I64" s="10">
        <v>0</v>
      </c>
    </row>
    <row r="65" spans="1:9" x14ac:dyDescent="0.25">
      <c r="A65" t="s">
        <v>488</v>
      </c>
      <c r="C65" s="10"/>
      <c r="D65" s="10"/>
      <c r="E65" s="10"/>
      <c r="F65" s="10"/>
      <c r="G65" s="10"/>
      <c r="H65" s="10"/>
      <c r="I65" s="10"/>
    </row>
    <row r="66" spans="1:9" x14ac:dyDescent="0.25">
      <c r="A66" s="27" t="s">
        <v>575</v>
      </c>
      <c r="B66" s="27" t="s">
        <v>1014</v>
      </c>
      <c r="C66" s="57">
        <v>26000</v>
      </c>
      <c r="D66" s="57">
        <v>24715</v>
      </c>
      <c r="E66" s="57">
        <v>30000</v>
      </c>
      <c r="F66" s="57">
        <v>25233.200000000001</v>
      </c>
      <c r="G66" s="57">
        <v>30000</v>
      </c>
      <c r="H66" s="57">
        <f>14133.6+7066.8+7066.8</f>
        <v>28267.200000000001</v>
      </c>
      <c r="I66" s="10">
        <f>6822.8+6822.8+13645.6</f>
        <v>27291.200000000001</v>
      </c>
    </row>
    <row r="67" spans="1:9" x14ac:dyDescent="0.25">
      <c r="A67" t="s">
        <v>575</v>
      </c>
      <c r="B67" t="s">
        <v>489</v>
      </c>
      <c r="C67" s="10">
        <v>459500</v>
      </c>
      <c r="D67" s="10">
        <v>531700</v>
      </c>
      <c r="E67" s="10">
        <v>531700</v>
      </c>
      <c r="F67" s="10">
        <v>160000</v>
      </c>
      <c r="G67" s="10">
        <v>160000</v>
      </c>
      <c r="H67" s="10">
        <v>151720</v>
      </c>
      <c r="I67" s="10">
        <v>162000</v>
      </c>
    </row>
    <row r="68" spans="1:9" x14ac:dyDescent="0.25">
      <c r="A68" s="27" t="s">
        <v>575</v>
      </c>
      <c r="B68" s="27" t="s">
        <v>1104</v>
      </c>
      <c r="C68" s="57">
        <v>0</v>
      </c>
      <c r="D68" s="57">
        <v>0</v>
      </c>
      <c r="E68" s="57">
        <v>0</v>
      </c>
      <c r="F68" s="10">
        <v>0</v>
      </c>
      <c r="G68" s="10">
        <v>0</v>
      </c>
      <c r="H68" s="10">
        <v>515000</v>
      </c>
      <c r="I68" s="10">
        <v>0</v>
      </c>
    </row>
    <row r="69" spans="1:9" x14ac:dyDescent="0.25">
      <c r="A69" s="27" t="s">
        <v>495</v>
      </c>
      <c r="C69" s="10"/>
      <c r="D69" s="10"/>
      <c r="E69" s="10"/>
      <c r="F69" s="10"/>
      <c r="G69" s="10"/>
      <c r="H69" s="10"/>
      <c r="I69" s="10"/>
    </row>
    <row r="70" spans="1:9" x14ac:dyDescent="0.25">
      <c r="A70" s="27" t="s">
        <v>648</v>
      </c>
      <c r="B70" s="27" t="s">
        <v>113</v>
      </c>
      <c r="C70" s="57">
        <v>0</v>
      </c>
      <c r="D70" s="57">
        <v>6599</v>
      </c>
      <c r="E70" s="57">
        <v>12000</v>
      </c>
      <c r="F70" s="57">
        <v>0</v>
      </c>
      <c r="G70" s="57">
        <v>0</v>
      </c>
      <c r="H70" s="57">
        <v>0</v>
      </c>
      <c r="I70" s="10">
        <v>0</v>
      </c>
    </row>
    <row r="71" spans="1:9" x14ac:dyDescent="0.25">
      <c r="A71" s="27" t="s">
        <v>1071</v>
      </c>
      <c r="C71" s="10"/>
      <c r="D71" s="10"/>
      <c r="E71" s="10"/>
      <c r="F71" s="10"/>
      <c r="G71" s="10"/>
      <c r="H71" s="10"/>
      <c r="I71" s="10"/>
    </row>
    <row r="72" spans="1:9" x14ac:dyDescent="0.25">
      <c r="A72" s="27" t="s">
        <v>1072</v>
      </c>
      <c r="B72" s="27" t="s">
        <v>195</v>
      </c>
      <c r="C72" s="57">
        <v>0</v>
      </c>
      <c r="D72" s="57">
        <v>0</v>
      </c>
      <c r="E72" s="57">
        <v>0</v>
      </c>
      <c r="F72" s="57">
        <v>1958.35</v>
      </c>
      <c r="G72" s="10">
        <v>0</v>
      </c>
      <c r="H72" s="10">
        <v>2399.5500000000002</v>
      </c>
      <c r="I72" s="10">
        <v>2820.92</v>
      </c>
    </row>
    <row r="73" spans="1:9" x14ac:dyDescent="0.25">
      <c r="A73" t="s">
        <v>116</v>
      </c>
      <c r="C73" s="10"/>
      <c r="D73" s="10"/>
      <c r="E73" s="10"/>
      <c r="F73" s="10"/>
      <c r="G73" s="10"/>
      <c r="H73" s="10"/>
      <c r="I73" s="10"/>
    </row>
    <row r="74" spans="1:9" x14ac:dyDescent="0.25">
      <c r="A74" t="s">
        <v>573</v>
      </c>
      <c r="B74" t="s">
        <v>117</v>
      </c>
      <c r="C74" s="10">
        <v>0</v>
      </c>
      <c r="D74" s="10">
        <v>0</v>
      </c>
      <c r="E74" s="10">
        <v>0</v>
      </c>
      <c r="F74" s="10">
        <v>92965</v>
      </c>
      <c r="G74" s="116">
        <v>0</v>
      </c>
      <c r="H74" s="10">
        <v>0</v>
      </c>
      <c r="I74" s="10">
        <v>0</v>
      </c>
    </row>
    <row r="75" spans="1:9" x14ac:dyDescent="0.25">
      <c r="A75" t="s">
        <v>375</v>
      </c>
      <c r="B75" t="s">
        <v>119</v>
      </c>
      <c r="C75" s="10">
        <v>40000</v>
      </c>
      <c r="D75" s="10">
        <v>7668.5</v>
      </c>
      <c r="E75" s="10">
        <v>5000</v>
      </c>
      <c r="F75" s="10">
        <v>0</v>
      </c>
      <c r="G75" s="10">
        <v>5000</v>
      </c>
      <c r="H75" s="10">
        <v>47238.12</v>
      </c>
      <c r="I75" s="10">
        <v>32331.11</v>
      </c>
    </row>
    <row r="76" spans="1:9" x14ac:dyDescent="0.25">
      <c r="A76" s="27" t="s">
        <v>681</v>
      </c>
      <c r="B76" s="27" t="s">
        <v>113</v>
      </c>
      <c r="C76" s="57">
        <v>4000</v>
      </c>
      <c r="D76" s="57">
        <v>4331.9799999999996</v>
      </c>
      <c r="E76" s="57">
        <v>4000</v>
      </c>
      <c r="F76" s="57">
        <v>4674.1899999999996</v>
      </c>
      <c r="G76" s="57">
        <v>4000</v>
      </c>
      <c r="H76" s="57">
        <v>4457.1400000000003</v>
      </c>
      <c r="I76" s="10">
        <v>5337.17</v>
      </c>
    </row>
    <row r="77" spans="1:9" x14ac:dyDescent="0.25">
      <c r="A77" s="27" t="s">
        <v>1280</v>
      </c>
      <c r="B77" s="27" t="s">
        <v>114</v>
      </c>
      <c r="C77" s="57">
        <v>0</v>
      </c>
      <c r="D77" s="57">
        <v>7950</v>
      </c>
      <c r="E77" s="57">
        <v>0</v>
      </c>
      <c r="F77" s="57">
        <v>0</v>
      </c>
      <c r="G77" s="57">
        <v>0</v>
      </c>
      <c r="H77" s="57">
        <v>0</v>
      </c>
      <c r="I77" s="10">
        <v>0</v>
      </c>
    </row>
    <row r="78" spans="1:9" x14ac:dyDescent="0.25">
      <c r="A78" t="s">
        <v>107</v>
      </c>
      <c r="C78" s="10"/>
      <c r="D78" s="10"/>
      <c r="E78" s="10"/>
      <c r="F78" s="10"/>
      <c r="G78" s="10"/>
      <c r="H78" s="10"/>
      <c r="I78" s="10"/>
    </row>
    <row r="79" spans="1:9" x14ac:dyDescent="0.25">
      <c r="A79" t="s">
        <v>376</v>
      </c>
      <c r="B79" t="s">
        <v>93</v>
      </c>
      <c r="C79" s="10">
        <v>2000</v>
      </c>
      <c r="D79" s="10">
        <v>4566.7700000000004</v>
      </c>
      <c r="E79" s="10">
        <v>2000</v>
      </c>
      <c r="F79" s="10">
        <v>3882.09</v>
      </c>
      <c r="G79" s="10">
        <v>2000</v>
      </c>
      <c r="H79" s="10">
        <v>4239.87</v>
      </c>
      <c r="I79" s="10">
        <v>4998.37</v>
      </c>
    </row>
    <row r="80" spans="1:9" x14ac:dyDescent="0.25">
      <c r="A80" t="s">
        <v>377</v>
      </c>
      <c r="B80" t="s">
        <v>91</v>
      </c>
      <c r="C80" s="10">
        <v>700</v>
      </c>
      <c r="D80" s="10">
        <v>862.04</v>
      </c>
      <c r="E80" s="10">
        <v>700</v>
      </c>
      <c r="F80" s="10">
        <v>-1447.28</v>
      </c>
      <c r="G80" s="10">
        <v>700</v>
      </c>
      <c r="H80" s="10">
        <v>2658.03</v>
      </c>
      <c r="I80" s="10">
        <v>795.79</v>
      </c>
    </row>
    <row r="81" spans="1:10" x14ac:dyDescent="0.25">
      <c r="A81" t="s">
        <v>378</v>
      </c>
      <c r="B81" s="27" t="s">
        <v>108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10">
        <v>253.36</v>
      </c>
    </row>
    <row r="82" spans="1:10" x14ac:dyDescent="0.25">
      <c r="A82" t="s">
        <v>379</v>
      </c>
      <c r="B82" t="s">
        <v>110</v>
      </c>
      <c r="C82" s="10">
        <f>F82*1.04</f>
        <v>1132353.6640000001</v>
      </c>
      <c r="D82" s="10">
        <v>903627.27</v>
      </c>
      <c r="E82" s="10">
        <f>1.04*H82</f>
        <v>1165668.1608</v>
      </c>
      <c r="F82" s="10">
        <v>1088801.6000000001</v>
      </c>
      <c r="G82" s="10">
        <v>1680000</v>
      </c>
      <c r="H82" s="10">
        <v>1120834.77</v>
      </c>
      <c r="I82" s="10">
        <v>1232873.3999999999</v>
      </c>
    </row>
    <row r="83" spans="1:10" x14ac:dyDescent="0.25">
      <c r="B83" s="27"/>
      <c r="C83" s="57"/>
      <c r="D83" s="57"/>
      <c r="E83" s="57"/>
      <c r="F83" s="57"/>
      <c r="G83" s="57"/>
      <c r="H83" s="57"/>
      <c r="I83" s="10"/>
      <c r="J83" s="27"/>
    </row>
    <row r="84" spans="1:10" x14ac:dyDescent="0.25">
      <c r="B84" t="s">
        <v>58</v>
      </c>
      <c r="C84" s="10">
        <f>SUM(C23:C82)</f>
        <v>1836304.6032000002</v>
      </c>
      <c r="D84" s="10">
        <f>SUM(D23:D82)</f>
        <v>1642041.33</v>
      </c>
      <c r="E84" s="10">
        <f>SUM(E23:E82)</f>
        <v>1906277.8840000001</v>
      </c>
      <c r="F84" s="10">
        <f>SUM(F23:F82)</f>
        <v>1547067.5</v>
      </c>
      <c r="G84" s="10">
        <f>SUM(G23:G82)</f>
        <v>2031988.4383999999</v>
      </c>
      <c r="H84" s="10">
        <f>SUM(H23:H83)</f>
        <v>2022520.59</v>
      </c>
      <c r="I84" s="10">
        <f>SUM(I23:I83)</f>
        <v>1600822.9799999997</v>
      </c>
    </row>
    <row r="85" spans="1:10" x14ac:dyDescent="0.25">
      <c r="A85" s="13"/>
      <c r="G85" s="10"/>
      <c r="H85" s="10"/>
      <c r="I85" s="10"/>
    </row>
    <row r="86" spans="1:10" x14ac:dyDescent="0.25">
      <c r="B86" s="51" t="s">
        <v>790</v>
      </c>
      <c r="D86" s="57">
        <v>165003</v>
      </c>
      <c r="E86" s="51"/>
      <c r="F86" s="51"/>
      <c r="G86" s="93"/>
      <c r="H86" s="93"/>
      <c r="I86" s="10">
        <v>199586</v>
      </c>
    </row>
    <row r="89" spans="1:10" x14ac:dyDescent="0.25">
      <c r="A89" s="129" t="s">
        <v>1073</v>
      </c>
    </row>
    <row r="90" spans="1:10" x14ac:dyDescent="0.25">
      <c r="A90" s="27" t="s">
        <v>1150</v>
      </c>
      <c r="B90" s="24">
        <v>40000</v>
      </c>
      <c r="C90" s="24"/>
      <c r="D90" s="24"/>
      <c r="E90" s="153"/>
      <c r="F90" s="145"/>
      <c r="G90" s="27"/>
    </row>
    <row r="91" spans="1:10" x14ac:dyDescent="0.25">
      <c r="A91" s="27"/>
    </row>
    <row r="92" spans="1:10" x14ac:dyDescent="0.25">
      <c r="A92" s="129" t="s">
        <v>1134</v>
      </c>
    </row>
    <row r="93" spans="1:10" x14ac:dyDescent="0.25">
      <c r="A93" s="27" t="s">
        <v>1126</v>
      </c>
      <c r="B93" s="10">
        <v>5000</v>
      </c>
      <c r="C93" s="10"/>
      <c r="D93" s="10"/>
    </row>
    <row r="94" spans="1:10" x14ac:dyDescent="0.25">
      <c r="A94" s="27" t="s">
        <v>1148</v>
      </c>
      <c r="B94" s="10">
        <v>5000</v>
      </c>
      <c r="C94" s="10"/>
      <c r="D94" s="10"/>
    </row>
    <row r="95" spans="1:10" x14ac:dyDescent="0.25">
      <c r="A95" s="27" t="s">
        <v>1149</v>
      </c>
      <c r="B95" s="10">
        <v>2000</v>
      </c>
      <c r="C95" s="10"/>
      <c r="D95" s="10"/>
    </row>
    <row r="96" spans="1:10" x14ac:dyDescent="0.25">
      <c r="A96" s="27" t="s">
        <v>1158</v>
      </c>
      <c r="B96" s="10">
        <v>2500</v>
      </c>
      <c r="C96" s="10"/>
      <c r="D96" s="10"/>
    </row>
    <row r="98" spans="1:2" x14ac:dyDescent="0.25">
      <c r="A98" s="129" t="s">
        <v>1151</v>
      </c>
    </row>
    <row r="99" spans="1:2" x14ac:dyDescent="0.25">
      <c r="A99" s="27" t="s">
        <v>1256</v>
      </c>
      <c r="B99" s="30" t="s">
        <v>1237</v>
      </c>
    </row>
    <row r="100" spans="1:2" x14ac:dyDescent="0.25">
      <c r="A100" s="42" t="s">
        <v>1257</v>
      </c>
    </row>
    <row r="101" spans="1:2" x14ac:dyDescent="0.25">
      <c r="A101" s="27" t="s">
        <v>1258</v>
      </c>
      <c r="B101" s="164">
        <v>40000</v>
      </c>
    </row>
    <row r="102" spans="1:2" x14ac:dyDescent="0.25">
      <c r="A102" s="17" t="s">
        <v>1259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8"/>
  <sheetViews>
    <sheetView zoomScaleNormal="100" workbookViewId="0">
      <selection activeCell="L30" sqref="L30"/>
    </sheetView>
  </sheetViews>
  <sheetFormatPr defaultRowHeight="13.2" x14ac:dyDescent="0.25"/>
  <cols>
    <col min="1" max="1" width="18.44140625" customWidth="1"/>
    <col min="2" max="2" width="27.44140625" customWidth="1"/>
    <col min="3" max="3" width="5.6640625" customWidth="1"/>
    <col min="4" max="6" width="11.6640625" customWidth="1"/>
    <col min="7" max="7" width="14.44140625" customWidth="1"/>
    <col min="8" max="10" width="11.6640625" customWidth="1"/>
  </cols>
  <sheetData>
    <row r="1" spans="1:10" ht="15.6" x14ac:dyDescent="0.3">
      <c r="B1" s="14" t="s">
        <v>2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17">
        <v>2017</v>
      </c>
      <c r="J1" s="42">
        <v>2017</v>
      </c>
    </row>
    <row r="2" spans="1:10" x14ac:dyDescent="0.25"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 t="s">
        <v>807</v>
      </c>
      <c r="J2" s="42" t="s">
        <v>506</v>
      </c>
    </row>
    <row r="3" spans="1:10" x14ac:dyDescent="0.25">
      <c r="A3" t="s">
        <v>40</v>
      </c>
      <c r="H3" s="27"/>
    </row>
    <row r="4" spans="1:10" x14ac:dyDescent="0.25">
      <c r="A4" s="13" t="s">
        <v>565</v>
      </c>
      <c r="B4" s="13" t="s">
        <v>562</v>
      </c>
      <c r="D4" s="10">
        <v>0</v>
      </c>
      <c r="E4" s="10">
        <v>1200</v>
      </c>
      <c r="F4" s="10">
        <v>0</v>
      </c>
      <c r="G4" s="10">
        <v>0</v>
      </c>
      <c r="H4" s="10">
        <v>0</v>
      </c>
      <c r="I4" s="10">
        <v>150</v>
      </c>
      <c r="J4" s="10">
        <v>0</v>
      </c>
    </row>
    <row r="5" spans="1:10" x14ac:dyDescent="0.25">
      <c r="A5" t="s">
        <v>156</v>
      </c>
      <c r="B5" t="s">
        <v>478</v>
      </c>
      <c r="D5" s="10">
        <f>G5*1.04</f>
        <v>253458.17120000001</v>
      </c>
      <c r="E5" s="10">
        <v>240598.41</v>
      </c>
      <c r="F5" s="10">
        <f>I5*1.04</f>
        <v>284747.70480000001</v>
      </c>
      <c r="G5" s="10">
        <v>243709.78</v>
      </c>
      <c r="H5" s="10">
        <f>J5*1.04</f>
        <v>357883.76</v>
      </c>
      <c r="I5" s="10">
        <v>273795.87</v>
      </c>
      <c r="J5" s="10">
        <v>344119</v>
      </c>
    </row>
    <row r="6" spans="1:10" x14ac:dyDescent="0.25">
      <c r="A6" t="s">
        <v>157</v>
      </c>
      <c r="B6" t="s">
        <v>24</v>
      </c>
      <c r="D6" s="10">
        <v>1400</v>
      </c>
      <c r="E6" s="10">
        <f>1047+125</f>
        <v>1172</v>
      </c>
      <c r="F6" s="10">
        <v>1315</v>
      </c>
      <c r="G6" s="10">
        <f>1164.37+285.76</f>
        <v>1450.1299999999999</v>
      </c>
      <c r="H6" s="10">
        <f>J6*1.04</f>
        <v>1314.56</v>
      </c>
      <c r="I6" s="10">
        <v>1156.6400000000001</v>
      </c>
      <c r="J6" s="10">
        <v>1264</v>
      </c>
    </row>
    <row r="7" spans="1:10" x14ac:dyDescent="0.25">
      <c r="A7" s="27" t="s">
        <v>788</v>
      </c>
      <c r="B7" s="27" t="s">
        <v>686</v>
      </c>
      <c r="D7" s="10">
        <v>1392</v>
      </c>
      <c r="E7" s="10">
        <v>1163.1199999999999</v>
      </c>
      <c r="F7" s="10">
        <v>800</v>
      </c>
      <c r="G7" s="10">
        <v>444.45</v>
      </c>
      <c r="H7" s="10">
        <v>800</v>
      </c>
      <c r="I7" s="10">
        <v>528.9</v>
      </c>
      <c r="J7" s="10">
        <v>800</v>
      </c>
    </row>
    <row r="8" spans="1:10" x14ac:dyDescent="0.25">
      <c r="A8" t="s">
        <v>158</v>
      </c>
      <c r="B8" t="s">
        <v>159</v>
      </c>
      <c r="D8" s="10">
        <v>0</v>
      </c>
      <c r="E8" s="10">
        <v>11</v>
      </c>
      <c r="F8" s="10">
        <v>0</v>
      </c>
      <c r="G8" s="10">
        <v>150</v>
      </c>
      <c r="H8" s="10">
        <v>0</v>
      </c>
      <c r="I8" s="10">
        <v>150</v>
      </c>
      <c r="J8" s="10">
        <v>0</v>
      </c>
    </row>
    <row r="9" spans="1:10" x14ac:dyDescent="0.25">
      <c r="A9" s="27" t="s">
        <v>1077</v>
      </c>
      <c r="B9" s="27" t="s">
        <v>1078</v>
      </c>
      <c r="D9" s="10">
        <v>1607000</v>
      </c>
      <c r="E9" s="10">
        <v>725</v>
      </c>
      <c r="F9" s="10">
        <v>750000</v>
      </c>
      <c r="G9" s="10">
        <v>0</v>
      </c>
      <c r="H9" s="10">
        <v>750000</v>
      </c>
      <c r="I9" s="10">
        <v>0</v>
      </c>
      <c r="J9" s="10">
        <v>0</v>
      </c>
    </row>
    <row r="10" spans="1:10" x14ac:dyDescent="0.25">
      <c r="B10" s="27" t="s">
        <v>595</v>
      </c>
      <c r="D10" s="10">
        <v>25000</v>
      </c>
      <c r="E10" s="10">
        <v>0</v>
      </c>
      <c r="F10" s="10">
        <v>238000</v>
      </c>
      <c r="G10" s="10">
        <v>86693.41</v>
      </c>
      <c r="H10" s="10">
        <v>0</v>
      </c>
      <c r="I10" s="10">
        <v>0</v>
      </c>
      <c r="J10" s="10">
        <v>164000</v>
      </c>
    </row>
    <row r="11" spans="1:10" x14ac:dyDescent="0.25">
      <c r="B11" s="27" t="s">
        <v>825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x14ac:dyDescent="0.25">
      <c r="D12" s="10"/>
      <c r="E12" s="10"/>
      <c r="F12" s="10"/>
      <c r="G12" s="10"/>
      <c r="H12" s="10"/>
      <c r="I12" s="10"/>
      <c r="J12" s="10"/>
    </row>
    <row r="13" spans="1:10" x14ac:dyDescent="0.25">
      <c r="B13" s="25" t="s">
        <v>58</v>
      </c>
      <c r="D13" s="10">
        <f>SUM(D4:D11)</f>
        <v>1888250.1712</v>
      </c>
      <c r="E13" s="10">
        <f>SUM(E4:E11)</f>
        <v>244869.53</v>
      </c>
      <c r="F13" s="10">
        <f>SUM(F4:F11)</f>
        <v>1274862.7047999999</v>
      </c>
      <c r="G13" s="10">
        <f>SUM(G4:G12)</f>
        <v>332447.77</v>
      </c>
      <c r="H13" s="10">
        <f>SUM(H4:H11)</f>
        <v>1109998.32</v>
      </c>
      <c r="I13" s="10">
        <f>SUM(I4:I12)</f>
        <v>275781.41000000003</v>
      </c>
      <c r="J13" s="10">
        <f>SUM(J4:J12)</f>
        <v>510183</v>
      </c>
    </row>
    <row r="14" spans="1:10" x14ac:dyDescent="0.25">
      <c r="A14" t="s">
        <v>79</v>
      </c>
      <c r="D14" s="10"/>
      <c r="E14" s="10"/>
      <c r="F14" s="10"/>
      <c r="G14" s="10"/>
      <c r="H14" s="10"/>
      <c r="I14" s="10"/>
      <c r="J14" s="10"/>
    </row>
    <row r="15" spans="1:10" x14ac:dyDescent="0.25">
      <c r="A15" t="s">
        <v>192</v>
      </c>
      <c r="D15" s="10"/>
      <c r="E15" s="10"/>
      <c r="F15" s="10"/>
      <c r="G15" s="10"/>
      <c r="H15" s="10"/>
      <c r="I15" s="10"/>
      <c r="J15" s="10"/>
    </row>
    <row r="16" spans="1:10" x14ac:dyDescent="0.25">
      <c r="A16" t="s">
        <v>380</v>
      </c>
      <c r="B16" t="s">
        <v>98</v>
      </c>
      <c r="D16" s="10">
        <v>26707.200000000001</v>
      </c>
      <c r="E16" s="10">
        <v>23969.759999999998</v>
      </c>
      <c r="F16" s="10">
        <f>(24.68*2080)/2</f>
        <v>25667.200000000001</v>
      </c>
      <c r="G16" s="10">
        <v>25098.16</v>
      </c>
      <c r="H16" s="10">
        <f>23.73*1040</f>
        <v>24679.200000000001</v>
      </c>
      <c r="I16" s="10">
        <v>22401.19</v>
      </c>
      <c r="J16" s="10">
        <v>20835</v>
      </c>
    </row>
    <row r="17" spans="1:10" x14ac:dyDescent="0.25">
      <c r="A17" t="s">
        <v>381</v>
      </c>
      <c r="B17" t="s">
        <v>99</v>
      </c>
      <c r="D17" s="10">
        <v>5000</v>
      </c>
      <c r="E17" s="10">
        <v>6811.73</v>
      </c>
      <c r="F17" s="10">
        <v>5000</v>
      </c>
      <c r="G17" s="10">
        <v>6544.81</v>
      </c>
      <c r="H17" s="10">
        <v>4000</v>
      </c>
      <c r="I17" s="10">
        <v>6629.17</v>
      </c>
      <c r="J17" s="10">
        <v>4000</v>
      </c>
    </row>
    <row r="18" spans="1:10" x14ac:dyDescent="0.25">
      <c r="A18" t="s">
        <v>188</v>
      </c>
      <c r="D18" s="10"/>
      <c r="E18" s="10"/>
      <c r="F18" s="10"/>
      <c r="G18" s="10"/>
      <c r="H18" s="10"/>
      <c r="I18" s="10"/>
      <c r="J18" s="10"/>
    </row>
    <row r="19" spans="1:10" x14ac:dyDescent="0.25">
      <c r="A19" t="s">
        <v>382</v>
      </c>
      <c r="B19" t="s">
        <v>190</v>
      </c>
      <c r="D19" s="10">
        <f>0.075*SUM(D16:D17)</f>
        <v>2378.04</v>
      </c>
      <c r="E19" s="10">
        <v>2308.77</v>
      </c>
      <c r="F19" s="10">
        <f>0.075*SUM(F16:F17)</f>
        <v>2300.04</v>
      </c>
      <c r="G19" s="10">
        <v>2358.13</v>
      </c>
      <c r="H19" s="10">
        <f>0.075*SUM(H16:H17)</f>
        <v>2150.94</v>
      </c>
      <c r="I19" s="10">
        <v>2167.27</v>
      </c>
      <c r="J19" s="10">
        <v>1863</v>
      </c>
    </row>
    <row r="20" spans="1:10" x14ac:dyDescent="0.25">
      <c r="A20" t="s">
        <v>383</v>
      </c>
      <c r="B20" t="s">
        <v>82</v>
      </c>
      <c r="D20" s="10">
        <f>0.062*SUM(D16:D17)</f>
        <v>1965.8464000000001</v>
      </c>
      <c r="E20" s="10">
        <v>1870.4</v>
      </c>
      <c r="F20" s="10">
        <f>0.062*SUM(F16:F17)</f>
        <v>1901.3664000000001</v>
      </c>
      <c r="G20" s="10">
        <v>1909.05</v>
      </c>
      <c r="H20" s="10">
        <f>0.062*SUM(H16:H17)</f>
        <v>1778.1104</v>
      </c>
      <c r="I20" s="10">
        <v>1791.53</v>
      </c>
      <c r="J20" s="10">
        <v>1540</v>
      </c>
    </row>
    <row r="21" spans="1:10" x14ac:dyDescent="0.25">
      <c r="A21" t="s">
        <v>384</v>
      </c>
      <c r="B21" t="s">
        <v>84</v>
      </c>
      <c r="D21" s="10">
        <f>0.0145*SUM(D16:D17)</f>
        <v>459.75440000000003</v>
      </c>
      <c r="E21" s="10">
        <v>437.39</v>
      </c>
      <c r="F21" s="10">
        <f>0.0145*SUM(F16:F17)</f>
        <v>444.67440000000005</v>
      </c>
      <c r="G21" s="10">
        <v>446.38</v>
      </c>
      <c r="H21" s="10">
        <f>0.0145*SUM(H16:H17)</f>
        <v>415.84840000000003</v>
      </c>
      <c r="I21" s="10">
        <v>419.02</v>
      </c>
      <c r="J21" s="10">
        <v>360</v>
      </c>
    </row>
    <row r="22" spans="1:10" x14ac:dyDescent="0.25">
      <c r="A22" t="s">
        <v>183</v>
      </c>
      <c r="D22" s="10"/>
      <c r="E22" s="10"/>
      <c r="F22" s="10"/>
      <c r="G22" s="10"/>
      <c r="H22" s="10"/>
      <c r="I22" s="10"/>
      <c r="J22" s="10"/>
    </row>
    <row r="23" spans="1:10" x14ac:dyDescent="0.25">
      <c r="A23" t="s">
        <v>385</v>
      </c>
      <c r="B23" t="s">
        <v>185</v>
      </c>
      <c r="D23" s="10">
        <v>11400</v>
      </c>
      <c r="E23" s="10">
        <v>3900.82</v>
      </c>
      <c r="F23" s="10">
        <f>(950*12)/2</f>
        <v>5700</v>
      </c>
      <c r="G23" s="10">
        <v>4126.82</v>
      </c>
      <c r="H23" s="10">
        <f>(900*12)/2</f>
        <v>5400</v>
      </c>
      <c r="I23" s="10">
        <v>4708.58</v>
      </c>
      <c r="J23" s="116">
        <v>4818</v>
      </c>
    </row>
    <row r="24" spans="1:10" x14ac:dyDescent="0.25">
      <c r="A24" t="s">
        <v>386</v>
      </c>
      <c r="B24" t="s">
        <v>187</v>
      </c>
      <c r="D24" s="10">
        <v>397.5</v>
      </c>
      <c r="E24" s="10">
        <v>351.48</v>
      </c>
      <c r="F24" s="10">
        <f>765/2</f>
        <v>382.5</v>
      </c>
      <c r="G24" s="10">
        <v>371.01</v>
      </c>
      <c r="H24" s="10">
        <f>(61.22*12)/2</f>
        <v>367.32</v>
      </c>
      <c r="I24" s="10">
        <v>347.55</v>
      </c>
      <c r="J24" s="116">
        <v>353.22</v>
      </c>
    </row>
    <row r="25" spans="1:10" x14ac:dyDescent="0.25">
      <c r="A25" t="s">
        <v>43</v>
      </c>
      <c r="D25" s="10"/>
      <c r="E25" s="10"/>
      <c r="F25" s="10"/>
      <c r="G25" s="10"/>
      <c r="H25" s="10"/>
      <c r="I25" s="10"/>
      <c r="J25" s="10"/>
    </row>
    <row r="26" spans="1:10" x14ac:dyDescent="0.25">
      <c r="A26" t="s">
        <v>387</v>
      </c>
      <c r="B26" t="s">
        <v>182</v>
      </c>
      <c r="D26" s="10">
        <v>1800</v>
      </c>
      <c r="E26" s="10">
        <v>0</v>
      </c>
      <c r="F26" s="10">
        <v>1800</v>
      </c>
      <c r="G26" s="10">
        <v>1783.17</v>
      </c>
      <c r="H26" s="10">
        <v>2500</v>
      </c>
      <c r="I26" s="10">
        <v>2764.18</v>
      </c>
      <c r="J26" s="10">
        <v>2500</v>
      </c>
    </row>
    <row r="27" spans="1:10" x14ac:dyDescent="0.25">
      <c r="A27" t="s">
        <v>149</v>
      </c>
      <c r="D27" s="10"/>
      <c r="E27" s="10"/>
      <c r="F27" s="10"/>
      <c r="G27" s="10"/>
      <c r="H27" s="10"/>
      <c r="I27" s="10"/>
      <c r="J27" s="10"/>
    </row>
    <row r="28" spans="1:10" x14ac:dyDescent="0.25">
      <c r="A28" s="13" t="s">
        <v>557</v>
      </c>
      <c r="B28" s="13" t="s">
        <v>558</v>
      </c>
      <c r="D28" s="10">
        <v>1500</v>
      </c>
      <c r="E28" s="10">
        <v>1157.95</v>
      </c>
      <c r="F28" s="10">
        <v>1500</v>
      </c>
      <c r="G28" s="10">
        <v>1511.62</v>
      </c>
      <c r="H28" s="10">
        <v>1000</v>
      </c>
      <c r="I28" s="10">
        <v>1720.68</v>
      </c>
      <c r="J28" s="10">
        <v>1000</v>
      </c>
    </row>
    <row r="29" spans="1:10" x14ac:dyDescent="0.25">
      <c r="A29" t="s">
        <v>388</v>
      </c>
      <c r="B29" t="s">
        <v>31</v>
      </c>
      <c r="D29" s="10">
        <v>6000</v>
      </c>
      <c r="E29" s="10">
        <v>3154.88</v>
      </c>
      <c r="F29" s="10">
        <v>6000</v>
      </c>
      <c r="G29" s="10">
        <v>3068.2</v>
      </c>
      <c r="H29" s="10">
        <v>6000</v>
      </c>
      <c r="I29" s="10">
        <v>4369.6499999999996</v>
      </c>
      <c r="J29" s="10">
        <v>6000</v>
      </c>
    </row>
    <row r="30" spans="1:10" x14ac:dyDescent="0.25">
      <c r="A30" t="s">
        <v>389</v>
      </c>
      <c r="B30" t="s">
        <v>32</v>
      </c>
      <c r="D30" s="10">
        <v>6000</v>
      </c>
      <c r="E30" s="10">
        <v>2825.33</v>
      </c>
      <c r="F30" s="10">
        <v>6000</v>
      </c>
      <c r="G30" s="10">
        <v>7847.5</v>
      </c>
      <c r="H30" s="10">
        <v>6000</v>
      </c>
      <c r="I30" s="10">
        <v>1245</v>
      </c>
      <c r="J30" s="10">
        <v>5000</v>
      </c>
    </row>
    <row r="31" spans="1:10" x14ac:dyDescent="0.25">
      <c r="A31" t="s">
        <v>23</v>
      </c>
      <c r="D31" s="10"/>
      <c r="E31" s="10"/>
      <c r="F31" s="10"/>
      <c r="G31" s="10"/>
      <c r="H31" s="10"/>
      <c r="I31" s="10"/>
      <c r="J31" s="10"/>
    </row>
    <row r="32" spans="1:10" x14ac:dyDescent="0.25">
      <c r="A32" t="s">
        <v>390</v>
      </c>
      <c r="B32" t="s">
        <v>141</v>
      </c>
      <c r="D32" s="10">
        <v>5000</v>
      </c>
      <c r="E32" s="10">
        <v>4920.76</v>
      </c>
      <c r="F32" s="10">
        <v>5000</v>
      </c>
      <c r="G32" s="10">
        <v>4743.95</v>
      </c>
      <c r="H32" s="10">
        <v>5000</v>
      </c>
      <c r="I32" s="10">
        <v>9237.94</v>
      </c>
      <c r="J32" s="10">
        <v>5000</v>
      </c>
    </row>
    <row r="33" spans="1:10" x14ac:dyDescent="0.25">
      <c r="A33" s="13" t="s">
        <v>555</v>
      </c>
      <c r="B33" s="13" t="s">
        <v>556</v>
      </c>
      <c r="D33" s="10">
        <v>0</v>
      </c>
      <c r="E33" s="10">
        <v>0</v>
      </c>
      <c r="F33" s="10">
        <v>0</v>
      </c>
      <c r="G33" s="10">
        <v>2032.38</v>
      </c>
      <c r="H33" s="10">
        <v>0</v>
      </c>
      <c r="I33" s="10">
        <v>0</v>
      </c>
      <c r="J33" s="10">
        <v>0</v>
      </c>
    </row>
    <row r="34" spans="1:10" x14ac:dyDescent="0.25">
      <c r="A34" s="27" t="s">
        <v>701</v>
      </c>
      <c r="B34" s="27" t="s">
        <v>639</v>
      </c>
      <c r="D34" s="10">
        <v>1000</v>
      </c>
      <c r="E34" s="10">
        <v>0</v>
      </c>
      <c r="F34" s="10">
        <v>1000</v>
      </c>
      <c r="G34" s="10">
        <v>0</v>
      </c>
      <c r="H34" s="10">
        <v>1000</v>
      </c>
      <c r="I34" s="10">
        <v>117.37</v>
      </c>
      <c r="J34" s="10">
        <v>1000</v>
      </c>
    </row>
    <row r="35" spans="1:10" x14ac:dyDescent="0.25">
      <c r="A35" t="s">
        <v>6</v>
      </c>
      <c r="D35" s="10"/>
      <c r="E35" s="10"/>
      <c r="F35" s="10"/>
      <c r="G35" s="10"/>
      <c r="H35" s="10"/>
      <c r="I35" s="10"/>
      <c r="J35" s="10"/>
    </row>
    <row r="36" spans="1:10" x14ac:dyDescent="0.25">
      <c r="A36" t="s">
        <v>391</v>
      </c>
      <c r="B36" t="s">
        <v>10</v>
      </c>
      <c r="D36" s="10">
        <v>10000</v>
      </c>
      <c r="E36" s="10">
        <v>16794.77</v>
      </c>
      <c r="F36" s="10">
        <v>10000</v>
      </c>
      <c r="G36" s="10">
        <v>10635.54</v>
      </c>
      <c r="H36" s="10">
        <v>10000</v>
      </c>
      <c r="I36" s="10">
        <v>43022.89</v>
      </c>
      <c r="J36" s="10">
        <v>10000</v>
      </c>
    </row>
    <row r="37" spans="1:10" x14ac:dyDescent="0.25">
      <c r="A37" t="s">
        <v>1282</v>
      </c>
      <c r="B37" t="s">
        <v>12</v>
      </c>
      <c r="D37" s="10">
        <v>0</v>
      </c>
      <c r="E37" s="10">
        <v>867</v>
      </c>
      <c r="F37" s="10"/>
      <c r="G37" s="10"/>
      <c r="H37" s="10"/>
      <c r="I37" s="10"/>
      <c r="J37" s="10"/>
    </row>
    <row r="38" spans="1:10" x14ac:dyDescent="0.25">
      <c r="A38" t="s">
        <v>5</v>
      </c>
      <c r="D38" s="10"/>
      <c r="E38" s="10"/>
      <c r="F38" s="10"/>
      <c r="G38" s="10"/>
      <c r="H38" s="10"/>
      <c r="I38" s="10"/>
      <c r="J38" s="10"/>
    </row>
    <row r="39" spans="1:10" x14ac:dyDescent="0.25">
      <c r="A39" t="s">
        <v>392</v>
      </c>
      <c r="B39" t="s">
        <v>89</v>
      </c>
      <c r="D39" s="10">
        <v>500</v>
      </c>
      <c r="E39" s="10">
        <v>444.6</v>
      </c>
      <c r="F39" s="10">
        <v>500</v>
      </c>
      <c r="G39" s="10">
        <v>520.38</v>
      </c>
      <c r="H39" s="10">
        <v>500</v>
      </c>
      <c r="I39" s="10">
        <v>468.37</v>
      </c>
      <c r="J39" s="10">
        <v>500</v>
      </c>
    </row>
    <row r="40" spans="1:10" x14ac:dyDescent="0.25">
      <c r="A40" s="13" t="s">
        <v>554</v>
      </c>
      <c r="B40" s="13" t="s">
        <v>90</v>
      </c>
      <c r="D40" s="10">
        <v>200</v>
      </c>
      <c r="E40" s="10">
        <v>25.7</v>
      </c>
      <c r="F40" s="10">
        <v>0</v>
      </c>
      <c r="G40" s="10">
        <v>172.86</v>
      </c>
      <c r="H40" s="10">
        <v>0</v>
      </c>
      <c r="I40" s="10">
        <v>24.19</v>
      </c>
      <c r="J40" s="10">
        <v>0</v>
      </c>
    </row>
    <row r="41" spans="1:10" x14ac:dyDescent="0.25">
      <c r="A41" t="s">
        <v>134</v>
      </c>
      <c r="D41" s="10"/>
      <c r="E41" s="10"/>
      <c r="F41" s="10"/>
      <c r="G41" s="10"/>
      <c r="H41" s="10"/>
      <c r="I41" s="10"/>
      <c r="J41" s="10"/>
    </row>
    <row r="42" spans="1:10" x14ac:dyDescent="0.25">
      <c r="A42" s="27" t="s">
        <v>1074</v>
      </c>
      <c r="B42" s="27" t="s">
        <v>137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284.36</v>
      </c>
      <c r="J42" s="10">
        <v>0</v>
      </c>
    </row>
    <row r="43" spans="1:10" x14ac:dyDescent="0.25">
      <c r="A43" t="s">
        <v>393</v>
      </c>
      <c r="B43" t="s">
        <v>135</v>
      </c>
      <c r="D43" s="10">
        <v>600</v>
      </c>
      <c r="E43" s="10">
        <v>622.5</v>
      </c>
      <c r="F43" s="10">
        <v>350</v>
      </c>
      <c r="G43" s="10">
        <v>112</v>
      </c>
      <c r="H43" s="10">
        <v>350</v>
      </c>
      <c r="I43" s="10">
        <v>564</v>
      </c>
      <c r="J43" s="10">
        <v>350</v>
      </c>
    </row>
    <row r="44" spans="1:10" x14ac:dyDescent="0.25">
      <c r="A44" t="s">
        <v>128</v>
      </c>
      <c r="D44" s="10"/>
      <c r="E44" s="10"/>
      <c r="F44" s="10"/>
      <c r="G44" s="10"/>
      <c r="H44" s="10"/>
      <c r="I44" s="10"/>
      <c r="J44" s="10"/>
    </row>
    <row r="45" spans="1:10" x14ac:dyDescent="0.25">
      <c r="A45" s="13" t="s">
        <v>511</v>
      </c>
      <c r="B45" s="13" t="s">
        <v>512</v>
      </c>
      <c r="D45" s="10">
        <v>400</v>
      </c>
      <c r="E45" s="10">
        <v>435</v>
      </c>
      <c r="F45" s="10">
        <v>300</v>
      </c>
      <c r="G45" s="10">
        <v>296</v>
      </c>
      <c r="H45" s="10">
        <v>250</v>
      </c>
      <c r="I45" s="10">
        <v>262</v>
      </c>
      <c r="J45" s="10">
        <v>250</v>
      </c>
    </row>
    <row r="46" spans="1:10" x14ac:dyDescent="0.25">
      <c r="A46" t="s">
        <v>121</v>
      </c>
      <c r="D46" s="10"/>
      <c r="E46" s="10"/>
      <c r="F46" s="10"/>
      <c r="G46" s="10"/>
      <c r="H46" s="10"/>
      <c r="I46" s="10"/>
      <c r="J46" s="10"/>
    </row>
    <row r="47" spans="1:10" x14ac:dyDescent="0.25">
      <c r="A47" t="s">
        <v>394</v>
      </c>
      <c r="B47" t="s">
        <v>122</v>
      </c>
      <c r="D47" s="10">
        <v>45000</v>
      </c>
      <c r="E47" s="10">
        <v>27959.94</v>
      </c>
      <c r="F47" s="10">
        <v>45000</v>
      </c>
      <c r="G47" s="10">
        <v>36514.800000000003</v>
      </c>
      <c r="H47" s="10">
        <v>45000</v>
      </c>
      <c r="I47" s="10">
        <f>34853.45+226.37</f>
        <v>35079.82</v>
      </c>
      <c r="J47" s="10">
        <v>45000</v>
      </c>
    </row>
    <row r="48" spans="1:10" x14ac:dyDescent="0.25">
      <c r="A48" s="27" t="s">
        <v>699</v>
      </c>
      <c r="D48" s="10"/>
      <c r="E48" s="10"/>
      <c r="F48" s="10"/>
      <c r="G48" s="10"/>
      <c r="H48" s="10"/>
      <c r="I48" s="10"/>
      <c r="J48" s="10"/>
    </row>
    <row r="49" spans="1:12" x14ac:dyDescent="0.25">
      <c r="A49" s="27" t="s">
        <v>700</v>
      </c>
      <c r="B49" s="27" t="s">
        <v>887</v>
      </c>
      <c r="D49" s="10">
        <v>25000</v>
      </c>
      <c r="E49" s="10">
        <v>22500</v>
      </c>
      <c r="F49" s="10">
        <v>22500</v>
      </c>
      <c r="G49" s="10">
        <v>22500</v>
      </c>
      <c r="H49" s="10">
        <v>22500</v>
      </c>
      <c r="I49" s="10">
        <v>22500</v>
      </c>
      <c r="J49" s="10">
        <v>22500</v>
      </c>
    </row>
    <row r="50" spans="1:12" x14ac:dyDescent="0.25">
      <c r="A50" s="27" t="s">
        <v>495</v>
      </c>
      <c r="B50" s="27"/>
      <c r="D50" s="10"/>
      <c r="E50" s="10"/>
      <c r="F50" s="10"/>
      <c r="G50" s="10"/>
      <c r="H50" s="10"/>
      <c r="I50" s="10"/>
      <c r="J50" s="10"/>
    </row>
    <row r="51" spans="1:12" x14ac:dyDescent="0.25">
      <c r="A51" s="27" t="s">
        <v>1075</v>
      </c>
      <c r="B51" s="27" t="s">
        <v>1076</v>
      </c>
      <c r="D51" s="10">
        <v>1607000</v>
      </c>
      <c r="E51" s="10">
        <v>0</v>
      </c>
      <c r="F51" s="10">
        <v>750000</v>
      </c>
      <c r="G51" s="10">
        <v>0</v>
      </c>
      <c r="H51" s="10">
        <v>750000</v>
      </c>
      <c r="I51" s="10">
        <v>0</v>
      </c>
      <c r="J51" s="10">
        <v>0</v>
      </c>
    </row>
    <row r="52" spans="1:12" x14ac:dyDescent="0.25">
      <c r="A52" s="27" t="s">
        <v>1283</v>
      </c>
      <c r="B52" s="27" t="s">
        <v>1205</v>
      </c>
      <c r="D52" s="10">
        <v>0</v>
      </c>
      <c r="E52" s="10">
        <v>20116.21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</row>
    <row r="53" spans="1:12" x14ac:dyDescent="0.25">
      <c r="A53" s="27" t="s">
        <v>844</v>
      </c>
      <c r="B53" s="27"/>
      <c r="D53" s="10"/>
      <c r="E53" s="10"/>
      <c r="F53" s="10"/>
      <c r="G53" s="10"/>
      <c r="H53" s="10"/>
      <c r="I53" s="10"/>
      <c r="J53" s="10"/>
    </row>
    <row r="54" spans="1:12" x14ac:dyDescent="0.25">
      <c r="A54" s="27" t="s">
        <v>842</v>
      </c>
      <c r="B54" s="27" t="s">
        <v>845</v>
      </c>
      <c r="D54" s="10">
        <v>79200</v>
      </c>
      <c r="E54" s="10">
        <v>79200</v>
      </c>
      <c r="F54" s="10">
        <v>79200</v>
      </c>
      <c r="G54" s="10">
        <v>79200</v>
      </c>
      <c r="H54" s="10">
        <v>79200</v>
      </c>
      <c r="I54" s="10">
        <v>74800</v>
      </c>
      <c r="J54" s="10">
        <v>74800</v>
      </c>
    </row>
    <row r="55" spans="1:12" x14ac:dyDescent="0.25">
      <c r="A55" s="27" t="s">
        <v>843</v>
      </c>
      <c r="B55" s="27" t="s">
        <v>846</v>
      </c>
      <c r="D55" s="10">
        <f>23267+22475</f>
        <v>45742</v>
      </c>
      <c r="E55" s="10">
        <v>47187</v>
      </c>
      <c r="F55" s="10">
        <v>47187</v>
      </c>
      <c r="G55" s="10">
        <v>48395.35</v>
      </c>
      <c r="H55" s="10">
        <v>48395</v>
      </c>
      <c r="I55" s="10">
        <v>49379</v>
      </c>
      <c r="J55" s="10">
        <v>49379</v>
      </c>
    </row>
    <row r="56" spans="1:12" x14ac:dyDescent="0.25">
      <c r="A56" t="s">
        <v>116</v>
      </c>
      <c r="D56" s="10"/>
      <c r="E56" s="10"/>
      <c r="F56" s="10"/>
      <c r="G56" s="10"/>
      <c r="H56" s="10"/>
      <c r="I56" s="10"/>
      <c r="J56" s="10"/>
    </row>
    <row r="57" spans="1:12" x14ac:dyDescent="0.25">
      <c r="A57" t="s">
        <v>572</v>
      </c>
      <c r="B57" t="s">
        <v>117</v>
      </c>
      <c r="D57" s="10">
        <v>0</v>
      </c>
      <c r="E57" s="10">
        <v>0</v>
      </c>
      <c r="F57" s="10">
        <v>0</v>
      </c>
      <c r="G57" s="10">
        <v>30280.28</v>
      </c>
      <c r="H57" s="10">
        <v>0</v>
      </c>
      <c r="I57" s="10">
        <v>211102.79</v>
      </c>
      <c r="J57" s="10">
        <v>203000</v>
      </c>
    </row>
    <row r="58" spans="1:12" x14ac:dyDescent="0.25">
      <c r="A58" s="27" t="s">
        <v>698</v>
      </c>
      <c r="B58" s="27" t="s">
        <v>118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</row>
    <row r="59" spans="1:12" x14ac:dyDescent="0.25">
      <c r="A59" t="s">
        <v>395</v>
      </c>
      <c r="B59" t="s">
        <v>119</v>
      </c>
      <c r="D59" s="10">
        <v>0</v>
      </c>
      <c r="E59" s="10">
        <v>1189</v>
      </c>
      <c r="F59" s="10">
        <v>250000</v>
      </c>
      <c r="G59" s="10">
        <v>279.5</v>
      </c>
      <c r="H59" s="10">
        <v>5000</v>
      </c>
      <c r="I59" s="10">
        <v>0</v>
      </c>
      <c r="J59" s="10">
        <v>45000</v>
      </c>
    </row>
    <row r="60" spans="1:12" x14ac:dyDescent="0.25">
      <c r="A60" t="s">
        <v>107</v>
      </c>
      <c r="D60" s="10"/>
      <c r="E60" s="10"/>
      <c r="F60" s="10"/>
      <c r="G60" s="10"/>
      <c r="H60" s="10"/>
      <c r="I60" s="10"/>
      <c r="J60" s="10"/>
    </row>
    <row r="61" spans="1:12" x14ac:dyDescent="0.25">
      <c r="A61" t="s">
        <v>396</v>
      </c>
      <c r="B61" t="s">
        <v>93</v>
      </c>
      <c r="D61" s="10">
        <v>2500</v>
      </c>
      <c r="E61" s="10">
        <v>4152</v>
      </c>
      <c r="F61" s="10">
        <v>4500</v>
      </c>
      <c r="G61" s="10">
        <v>4981.6000000000004</v>
      </c>
      <c r="H61" s="10">
        <v>4500</v>
      </c>
      <c r="I61" s="10">
        <v>4448</v>
      </c>
      <c r="J61" s="10">
        <v>4500</v>
      </c>
    </row>
    <row r="62" spans="1:12" x14ac:dyDescent="0.25">
      <c r="A62" t="s">
        <v>397</v>
      </c>
      <c r="B62" t="s">
        <v>91</v>
      </c>
      <c r="D62" s="10">
        <v>2500</v>
      </c>
      <c r="E62" s="10">
        <v>1102.99</v>
      </c>
      <c r="F62" s="10">
        <v>2500</v>
      </c>
      <c r="G62" s="10">
        <v>0</v>
      </c>
      <c r="H62" s="10">
        <v>500</v>
      </c>
      <c r="I62" s="10">
        <v>0</v>
      </c>
      <c r="J62" s="10">
        <v>500</v>
      </c>
    </row>
    <row r="63" spans="1:12" x14ac:dyDescent="0.25">
      <c r="D63" s="10"/>
      <c r="E63" s="10"/>
      <c r="F63" s="10"/>
      <c r="G63" s="10"/>
      <c r="H63" s="10"/>
      <c r="I63" s="10"/>
      <c r="J63" s="10"/>
      <c r="L63" s="27"/>
    </row>
    <row r="64" spans="1:12" x14ac:dyDescent="0.25">
      <c r="B64" s="25" t="s">
        <v>58</v>
      </c>
      <c r="D64" s="10">
        <f t="shared" ref="D64:I64" si="0">SUM(D16:D62)</f>
        <v>1888250.3407999999</v>
      </c>
      <c r="E64" s="10">
        <f t="shared" si="0"/>
        <v>274305.98</v>
      </c>
      <c r="F64" s="10">
        <f t="shared" si="0"/>
        <v>1274732.7808000001</v>
      </c>
      <c r="G64" s="10">
        <f t="shared" si="0"/>
        <v>295729.49</v>
      </c>
      <c r="H64" s="10">
        <f t="shared" si="0"/>
        <v>1026486.4188</v>
      </c>
      <c r="I64" s="10">
        <f t="shared" si="0"/>
        <v>499854.55000000005</v>
      </c>
      <c r="J64" s="10">
        <f>SUM(J16:J63)</f>
        <v>510048.22</v>
      </c>
    </row>
    <row r="65" spans="1:10" x14ac:dyDescent="0.25">
      <c r="H65" s="10"/>
      <c r="I65" s="10"/>
      <c r="J65" s="10"/>
    </row>
    <row r="66" spans="1:10" x14ac:dyDescent="0.25">
      <c r="A66" s="13"/>
      <c r="B66" s="51" t="s">
        <v>651</v>
      </c>
      <c r="E66" s="10">
        <v>317461</v>
      </c>
      <c r="G66" s="10">
        <v>244915</v>
      </c>
      <c r="H66" s="10"/>
      <c r="I66" s="10"/>
      <c r="J66" s="10">
        <v>0</v>
      </c>
    </row>
    <row r="68" spans="1:10" x14ac:dyDescent="0.25">
      <c r="A68" s="129" t="s">
        <v>1073</v>
      </c>
    </row>
    <row r="69" spans="1:10" x14ac:dyDescent="0.25">
      <c r="A69" s="27" t="s">
        <v>1145</v>
      </c>
      <c r="B69" s="10">
        <v>5000</v>
      </c>
    </row>
    <row r="70" spans="1:10" x14ac:dyDescent="0.25">
      <c r="A70" s="27" t="s">
        <v>1068</v>
      </c>
      <c r="B70" s="10">
        <v>750000</v>
      </c>
    </row>
    <row r="71" spans="1:10" x14ac:dyDescent="0.25">
      <c r="A71" s="27"/>
      <c r="B71" s="10"/>
    </row>
    <row r="72" spans="1:10" x14ac:dyDescent="0.25">
      <c r="A72" s="129" t="s">
        <v>1134</v>
      </c>
      <c r="B72" s="10"/>
    </row>
    <row r="73" spans="1:10" x14ac:dyDescent="0.25">
      <c r="A73" s="27" t="s">
        <v>1144</v>
      </c>
      <c r="B73" s="10">
        <v>250000</v>
      </c>
    </row>
    <row r="75" spans="1:10" x14ac:dyDescent="0.25">
      <c r="A75" s="129" t="s">
        <v>1151</v>
      </c>
    </row>
    <row r="76" spans="1:10" x14ac:dyDescent="0.25">
      <c r="A76" t="s">
        <v>1068</v>
      </c>
      <c r="B76" s="10">
        <v>877000</v>
      </c>
    </row>
    <row r="77" spans="1:10" x14ac:dyDescent="0.25">
      <c r="A77" t="s">
        <v>1274</v>
      </c>
      <c r="B77" s="10">
        <v>730000</v>
      </c>
    </row>
    <row r="78" spans="1:10" x14ac:dyDescent="0.25">
      <c r="A78" t="s">
        <v>1275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30" sqref="G30"/>
    </sheetView>
  </sheetViews>
  <sheetFormatPr defaultRowHeight="13.2" x14ac:dyDescent="0.25"/>
  <cols>
    <col min="1" max="1" width="18.33203125" customWidth="1"/>
    <col min="2" max="2" width="27.44140625" customWidth="1"/>
    <col min="3" max="3" width="3.6640625" customWidth="1"/>
    <col min="4" max="4" width="11.6640625" style="17" customWidth="1"/>
    <col min="5" max="10" width="11.6640625" customWidth="1"/>
  </cols>
  <sheetData>
    <row r="1" spans="1:10" ht="15.6" x14ac:dyDescent="0.3">
      <c r="B1" s="14" t="s">
        <v>482</v>
      </c>
      <c r="C1" s="14"/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42">
        <v>2017</v>
      </c>
      <c r="J1" s="42">
        <v>2016</v>
      </c>
    </row>
    <row r="2" spans="1:10" x14ac:dyDescent="0.25">
      <c r="A2" t="s">
        <v>79</v>
      </c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 t="s">
        <v>807</v>
      </c>
      <c r="J2" s="42" t="s">
        <v>807</v>
      </c>
    </row>
    <row r="3" spans="1:10" x14ac:dyDescent="0.25">
      <c r="A3" t="s">
        <v>192</v>
      </c>
      <c r="J3" s="10"/>
    </row>
    <row r="4" spans="1:10" x14ac:dyDescent="0.25">
      <c r="A4" t="s">
        <v>178</v>
      </c>
      <c r="B4" t="s">
        <v>179</v>
      </c>
      <c r="D4" s="160">
        <v>1800</v>
      </c>
      <c r="E4" s="10">
        <v>0</v>
      </c>
      <c r="F4" s="39">
        <v>0</v>
      </c>
      <c r="G4" s="10">
        <f>1694.5+13.13</f>
        <v>1707.63</v>
      </c>
      <c r="H4" s="10">
        <v>1000</v>
      </c>
      <c r="I4" s="10">
        <v>0</v>
      </c>
      <c r="J4" s="10">
        <v>1646.5</v>
      </c>
    </row>
    <row r="5" spans="1:10" x14ac:dyDescent="0.25">
      <c r="A5" t="s">
        <v>484</v>
      </c>
      <c r="D5" s="160"/>
      <c r="E5" s="10"/>
      <c r="F5" s="39"/>
      <c r="G5" s="10"/>
      <c r="H5" s="10"/>
      <c r="I5" s="10"/>
      <c r="J5" s="10"/>
    </row>
    <row r="6" spans="1:10" x14ac:dyDescent="0.25">
      <c r="A6" t="s">
        <v>180</v>
      </c>
      <c r="B6" t="s">
        <v>82</v>
      </c>
      <c r="D6" s="160">
        <v>0</v>
      </c>
      <c r="E6" s="10">
        <v>0</v>
      </c>
      <c r="F6" s="39">
        <v>0</v>
      </c>
      <c r="G6" s="10">
        <v>0</v>
      </c>
      <c r="H6" s="10">
        <v>3</v>
      </c>
      <c r="I6" s="10">
        <v>0</v>
      </c>
      <c r="J6" s="10">
        <v>0</v>
      </c>
    </row>
    <row r="7" spans="1:10" x14ac:dyDescent="0.25">
      <c r="A7" t="s">
        <v>55</v>
      </c>
      <c r="B7" t="s">
        <v>84</v>
      </c>
      <c r="D7" s="160">
        <v>0</v>
      </c>
      <c r="E7" s="10">
        <v>0</v>
      </c>
      <c r="F7" s="39">
        <v>0</v>
      </c>
      <c r="G7" s="10">
        <v>0</v>
      </c>
      <c r="H7" s="10">
        <v>1</v>
      </c>
      <c r="I7" s="10">
        <v>0</v>
      </c>
      <c r="J7" s="10">
        <v>0</v>
      </c>
    </row>
    <row r="8" spans="1:10" x14ac:dyDescent="0.25">
      <c r="A8" s="27" t="s">
        <v>653</v>
      </c>
      <c r="B8" s="27" t="s">
        <v>826</v>
      </c>
      <c r="D8" s="160">
        <v>200</v>
      </c>
      <c r="E8" s="10">
        <v>0</v>
      </c>
      <c r="F8" s="39">
        <v>0</v>
      </c>
      <c r="G8" s="10">
        <v>970.11</v>
      </c>
      <c r="H8" s="10">
        <v>500</v>
      </c>
      <c r="I8" s="10">
        <v>0</v>
      </c>
      <c r="J8" s="10">
        <v>284.16000000000003</v>
      </c>
    </row>
    <row r="9" spans="1:10" x14ac:dyDescent="0.25">
      <c r="A9" s="27" t="s">
        <v>1209</v>
      </c>
      <c r="B9" s="27" t="s">
        <v>1210</v>
      </c>
      <c r="D9" s="160">
        <v>300</v>
      </c>
      <c r="E9" s="10">
        <v>0</v>
      </c>
      <c r="F9" s="39">
        <v>0</v>
      </c>
      <c r="G9" s="10">
        <v>260</v>
      </c>
      <c r="H9" s="10">
        <v>0</v>
      </c>
      <c r="I9" s="10">
        <v>0</v>
      </c>
      <c r="J9" s="10">
        <v>0</v>
      </c>
    </row>
    <row r="10" spans="1:10" x14ac:dyDescent="0.25">
      <c r="A10" t="s">
        <v>56</v>
      </c>
      <c r="B10" t="s">
        <v>57</v>
      </c>
      <c r="D10" s="160">
        <v>400</v>
      </c>
      <c r="E10" s="10">
        <v>0</v>
      </c>
      <c r="F10" s="39">
        <v>0</v>
      </c>
      <c r="G10" s="10">
        <v>209.4</v>
      </c>
      <c r="H10" s="10">
        <v>196</v>
      </c>
      <c r="I10" s="10">
        <v>0</v>
      </c>
      <c r="J10" s="10">
        <v>156.93</v>
      </c>
    </row>
    <row r="11" spans="1:10" x14ac:dyDescent="0.25">
      <c r="D11" s="160"/>
      <c r="E11" s="10"/>
      <c r="F11" s="39"/>
      <c r="G11" s="10"/>
      <c r="H11" s="10"/>
      <c r="I11" s="10"/>
      <c r="J11" s="10"/>
    </row>
    <row r="12" spans="1:10" x14ac:dyDescent="0.25">
      <c r="B12" s="25" t="s">
        <v>58</v>
      </c>
      <c r="D12" s="160">
        <f>SUM(D4:D10)</f>
        <v>2700</v>
      </c>
      <c r="E12" s="10">
        <f>SUM(E4:E11)</f>
        <v>0</v>
      </c>
      <c r="F12" s="39">
        <f>SUM(F4:F10)</f>
        <v>0</v>
      </c>
      <c r="G12" s="10">
        <f>SUM(G4:G10)</f>
        <v>3147.1400000000003</v>
      </c>
      <c r="H12" s="116">
        <f>SUM(H4:H11)</f>
        <v>1700</v>
      </c>
      <c r="I12" s="10">
        <v>0</v>
      </c>
      <c r="J12" s="10">
        <f>SUM(J4:J11)</f>
        <v>2087.59</v>
      </c>
    </row>
    <row r="13" spans="1:10" x14ac:dyDescent="0.25">
      <c r="J13" s="10"/>
    </row>
    <row r="14" spans="1:10" x14ac:dyDescent="0.25">
      <c r="A14" s="27"/>
      <c r="B14" s="27"/>
      <c r="J14" s="10"/>
    </row>
    <row r="15" spans="1:10" x14ac:dyDescent="0.25">
      <c r="J15" s="10"/>
    </row>
    <row r="16" spans="1:10" x14ac:dyDescent="0.25">
      <c r="A16" s="27"/>
      <c r="B16" s="27"/>
      <c r="C16" s="27"/>
      <c r="D16" s="42"/>
      <c r="E16" s="27"/>
      <c r="F16" s="27"/>
      <c r="G16" s="27"/>
      <c r="H16" s="27"/>
      <c r="I16" s="27"/>
      <c r="J16" s="27"/>
    </row>
    <row r="17" spans="1:1" x14ac:dyDescent="0.25">
      <c r="A17" s="28" t="s">
        <v>1196</v>
      </c>
    </row>
    <row r="18" spans="1:1" x14ac:dyDescent="0.25">
      <c r="A18" t="s">
        <v>850</v>
      </c>
    </row>
    <row r="19" spans="1:1" x14ac:dyDescent="0.25">
      <c r="A19" t="s">
        <v>851</v>
      </c>
    </row>
    <row r="20" spans="1:1" x14ac:dyDescent="0.25">
      <c r="A20" s="27"/>
    </row>
    <row r="21" spans="1:1" x14ac:dyDescent="0.25">
      <c r="A21" s="28"/>
    </row>
  </sheetData>
  <phoneticPr fontId="2" type="noConversion"/>
  <pageMargins left="0.25" right="0.25" top="0.75" bottom="0.75" header="0.3" footer="0.3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3"/>
  <sheetViews>
    <sheetView topLeftCell="A49" zoomScaleNormal="100" workbookViewId="0">
      <selection activeCell="K76" sqref="K76"/>
    </sheetView>
  </sheetViews>
  <sheetFormatPr defaultRowHeight="13.2" x14ac:dyDescent="0.25"/>
  <cols>
    <col min="1" max="1" width="25.109375" customWidth="1"/>
    <col min="2" max="2" width="27.5546875" customWidth="1"/>
    <col min="3" max="4" width="11.6640625" customWidth="1"/>
    <col min="5" max="5" width="12.33203125" bestFit="1" customWidth="1"/>
    <col min="6" max="9" width="11.6640625" customWidth="1"/>
  </cols>
  <sheetData>
    <row r="1" spans="1:9" ht="15.6" x14ac:dyDescent="0.3">
      <c r="B1" s="14" t="s">
        <v>4</v>
      </c>
      <c r="C1" s="1">
        <v>2020</v>
      </c>
      <c r="D1" s="1">
        <v>2019</v>
      </c>
      <c r="E1" s="42">
        <v>2019</v>
      </c>
      <c r="F1" s="42">
        <v>2018</v>
      </c>
      <c r="G1" s="42">
        <v>2018</v>
      </c>
      <c r="H1" s="42">
        <v>2017</v>
      </c>
      <c r="I1" s="42">
        <v>2017</v>
      </c>
    </row>
    <row r="2" spans="1:9" x14ac:dyDescent="0.25">
      <c r="C2" s="1" t="s">
        <v>506</v>
      </c>
      <c r="D2" s="1" t="s">
        <v>1206</v>
      </c>
      <c r="E2" s="42" t="s">
        <v>506</v>
      </c>
      <c r="F2" s="42" t="s">
        <v>807</v>
      </c>
      <c r="G2" s="42" t="s">
        <v>506</v>
      </c>
      <c r="H2" s="42" t="s">
        <v>807</v>
      </c>
      <c r="I2" s="42" t="s">
        <v>506</v>
      </c>
    </row>
    <row r="3" spans="1:9" x14ac:dyDescent="0.25">
      <c r="A3" t="s">
        <v>40</v>
      </c>
    </row>
    <row r="4" spans="1:9" x14ac:dyDescent="0.25">
      <c r="A4" s="13" t="s">
        <v>568</v>
      </c>
      <c r="B4" s="13" t="s">
        <v>569</v>
      </c>
      <c r="C4" s="21">
        <v>0</v>
      </c>
      <c r="D4" s="21">
        <v>1500</v>
      </c>
      <c r="E4" s="21">
        <v>0</v>
      </c>
      <c r="F4" s="21">
        <v>0</v>
      </c>
      <c r="G4" s="21">
        <v>0</v>
      </c>
      <c r="H4" s="21">
        <v>150</v>
      </c>
      <c r="I4" s="10">
        <v>0</v>
      </c>
    </row>
    <row r="5" spans="1:9" x14ac:dyDescent="0.25">
      <c r="A5" s="131" t="s">
        <v>963</v>
      </c>
      <c r="B5" s="131" t="s">
        <v>667</v>
      </c>
      <c r="C5" s="115">
        <v>0</v>
      </c>
      <c r="D5" s="115">
        <v>0</v>
      </c>
      <c r="E5" s="115">
        <v>0</v>
      </c>
      <c r="F5" s="115">
        <v>0</v>
      </c>
      <c r="G5" s="115">
        <v>0</v>
      </c>
      <c r="H5" s="115">
        <v>0</v>
      </c>
      <c r="I5" s="116">
        <v>417000</v>
      </c>
    </row>
    <row r="6" spans="1:9" x14ac:dyDescent="0.25">
      <c r="A6" s="27" t="s">
        <v>691</v>
      </c>
      <c r="B6" s="27" t="s">
        <v>478</v>
      </c>
      <c r="C6" s="57">
        <v>1500</v>
      </c>
      <c r="D6" s="57">
        <v>1500</v>
      </c>
      <c r="E6" s="57">
        <v>1000</v>
      </c>
      <c r="F6" s="57">
        <v>0</v>
      </c>
      <c r="G6" s="57">
        <v>1000</v>
      </c>
      <c r="H6" s="57">
        <v>100</v>
      </c>
      <c r="I6" s="10">
        <v>1000</v>
      </c>
    </row>
    <row r="7" spans="1:9" x14ac:dyDescent="0.25">
      <c r="A7" s="13" t="s">
        <v>155</v>
      </c>
      <c r="B7" t="s">
        <v>478</v>
      </c>
      <c r="C7" s="10">
        <f>F7*1.04</f>
        <v>194478.024</v>
      </c>
      <c r="D7" s="10">
        <v>181249.46</v>
      </c>
      <c r="E7" s="10">
        <f>H7*1.04</f>
        <v>210488.7408</v>
      </c>
      <c r="F7" s="57">
        <v>186998.1</v>
      </c>
      <c r="G7" s="10">
        <v>221430</v>
      </c>
      <c r="H7" s="57">
        <v>202393.02</v>
      </c>
      <c r="I7" s="10">
        <v>212913</v>
      </c>
    </row>
    <row r="8" spans="1:9" x14ac:dyDescent="0.25">
      <c r="A8" s="13" t="s">
        <v>570</v>
      </c>
      <c r="B8" t="s">
        <v>24</v>
      </c>
      <c r="C8" s="10">
        <v>1300</v>
      </c>
      <c r="D8" s="10">
        <v>1156.8599999999999</v>
      </c>
      <c r="E8" s="10">
        <v>1338</v>
      </c>
      <c r="F8" s="57">
        <v>1255.92</v>
      </c>
      <c r="G8" s="10">
        <v>1338</v>
      </c>
      <c r="H8" s="57">
        <v>1275.45</v>
      </c>
      <c r="I8" s="10">
        <v>1286</v>
      </c>
    </row>
    <row r="9" spans="1:9" x14ac:dyDescent="0.25">
      <c r="A9" s="27" t="s">
        <v>853</v>
      </c>
      <c r="B9" t="s">
        <v>854</v>
      </c>
      <c r="C9" s="10">
        <v>300</v>
      </c>
      <c r="D9" s="10">
        <v>21.34</v>
      </c>
      <c r="E9" s="10">
        <v>300</v>
      </c>
      <c r="F9" s="10">
        <v>14.13</v>
      </c>
      <c r="G9" s="10">
        <v>300</v>
      </c>
      <c r="H9" s="57">
        <v>49.24</v>
      </c>
      <c r="I9" s="10">
        <v>300</v>
      </c>
    </row>
    <row r="10" spans="1:9" x14ac:dyDescent="0.25">
      <c r="A10" s="27" t="s">
        <v>1105</v>
      </c>
      <c r="B10" t="s">
        <v>1106</v>
      </c>
      <c r="C10" s="10">
        <v>0</v>
      </c>
      <c r="D10" s="10">
        <v>0</v>
      </c>
      <c r="E10" s="10">
        <v>0</v>
      </c>
      <c r="F10" s="10">
        <v>1000</v>
      </c>
      <c r="G10" s="10">
        <v>0</v>
      </c>
      <c r="H10" s="57">
        <v>0</v>
      </c>
      <c r="I10" s="10">
        <v>0</v>
      </c>
    </row>
    <row r="11" spans="1:9" x14ac:dyDescent="0.25">
      <c r="A11" s="27" t="s">
        <v>1079</v>
      </c>
      <c r="B11" s="27" t="s">
        <v>794</v>
      </c>
      <c r="C11" s="57">
        <v>0</v>
      </c>
      <c r="D11" s="57">
        <v>0</v>
      </c>
      <c r="E11" s="57">
        <v>0</v>
      </c>
      <c r="F11" s="57">
        <v>25</v>
      </c>
      <c r="G11" s="10">
        <v>0</v>
      </c>
      <c r="H11" s="57">
        <v>262.5</v>
      </c>
      <c r="I11" s="10">
        <v>0</v>
      </c>
    </row>
    <row r="12" spans="1:9" x14ac:dyDescent="0.25">
      <c r="A12" s="131" t="s">
        <v>964</v>
      </c>
      <c r="B12" s="131" t="s">
        <v>965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6">
        <v>542000</v>
      </c>
    </row>
    <row r="13" spans="1:9" x14ac:dyDescent="0.25">
      <c r="A13" s="27" t="s">
        <v>692</v>
      </c>
      <c r="B13" t="s">
        <v>598</v>
      </c>
      <c r="C13" s="159">
        <f>32351+17617</f>
        <v>49968</v>
      </c>
      <c r="D13" s="10">
        <v>23843.01</v>
      </c>
      <c r="E13" s="10">
        <v>52000</v>
      </c>
      <c r="F13" s="10">
        <v>50174.34</v>
      </c>
      <c r="G13" s="10">
        <v>23000</v>
      </c>
      <c r="H13" s="10">
        <v>37508.53</v>
      </c>
      <c r="I13" s="10">
        <v>41500</v>
      </c>
    </row>
    <row r="14" spans="1:9" x14ac:dyDescent="0.25">
      <c r="A14" s="27" t="s">
        <v>692</v>
      </c>
      <c r="B14" s="27" t="s">
        <v>1140</v>
      </c>
      <c r="C14" s="57"/>
      <c r="D14" s="57">
        <v>0</v>
      </c>
      <c r="E14" s="10"/>
      <c r="F14" s="10">
        <v>3097.46</v>
      </c>
      <c r="G14" s="10"/>
      <c r="H14" s="10"/>
      <c r="I14" s="10"/>
    </row>
    <row r="15" spans="1:9" x14ac:dyDescent="0.25">
      <c r="A15" s="27" t="s">
        <v>692</v>
      </c>
      <c r="B15" t="s">
        <v>805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x14ac:dyDescent="0.25">
      <c r="C16" s="10"/>
      <c r="D16" s="10"/>
      <c r="E16" s="10"/>
      <c r="F16" s="10"/>
      <c r="G16" s="10"/>
      <c r="H16" s="10"/>
      <c r="I16" s="10"/>
    </row>
    <row r="17" spans="1:11" x14ac:dyDescent="0.25">
      <c r="B17" s="25" t="s">
        <v>58</v>
      </c>
      <c r="C17" s="24">
        <f>SUM(C4:C15)</f>
        <v>247546.024</v>
      </c>
      <c r="D17" s="24">
        <f>SUM(D4:D15)</f>
        <v>209270.66999999998</v>
      </c>
      <c r="E17" s="24">
        <f>SUM(E4:E15)</f>
        <v>265126.74080000003</v>
      </c>
      <c r="F17" s="24">
        <f>SUM(F4:F16)</f>
        <v>242564.95</v>
      </c>
      <c r="G17" s="24">
        <f>SUM(G4:G15)</f>
        <v>247068</v>
      </c>
      <c r="H17" s="24">
        <f>SUM(H4:H15)</f>
        <v>241738.74</v>
      </c>
      <c r="I17" s="10">
        <f>SUM(I4:I16)</f>
        <v>1215999</v>
      </c>
    </row>
    <row r="18" spans="1:11" x14ac:dyDescent="0.25">
      <c r="A18" t="s">
        <v>79</v>
      </c>
      <c r="C18" s="10"/>
      <c r="D18" s="10"/>
      <c r="F18" s="10"/>
      <c r="I18" s="10"/>
      <c r="K18" s="22"/>
    </row>
    <row r="19" spans="1:11" x14ac:dyDescent="0.25">
      <c r="A19" t="s">
        <v>192</v>
      </c>
      <c r="C19" s="10"/>
      <c r="D19" s="10"/>
      <c r="F19" s="10"/>
      <c r="I19" s="10"/>
    </row>
    <row r="20" spans="1:11" x14ac:dyDescent="0.25">
      <c r="A20" t="s">
        <v>398</v>
      </c>
      <c r="B20" t="s">
        <v>98</v>
      </c>
      <c r="C20" s="10">
        <v>26707</v>
      </c>
      <c r="D20" s="10">
        <v>23969.66</v>
      </c>
      <c r="E20" s="10">
        <f>(24.68*2080)/2</f>
        <v>25667.200000000001</v>
      </c>
      <c r="F20" s="10">
        <v>25097.93</v>
      </c>
      <c r="G20" s="10">
        <f>23.73*1040</f>
        <v>24679.200000000001</v>
      </c>
      <c r="H20" s="10">
        <v>25683.82</v>
      </c>
      <c r="I20" s="10">
        <v>20835</v>
      </c>
    </row>
    <row r="21" spans="1:11" x14ac:dyDescent="0.25">
      <c r="A21" t="s">
        <v>399</v>
      </c>
      <c r="B21" t="s">
        <v>99</v>
      </c>
      <c r="C21" s="10">
        <v>5000</v>
      </c>
      <c r="D21" s="10">
        <v>6811.73</v>
      </c>
      <c r="E21" s="10">
        <v>5000</v>
      </c>
      <c r="F21" s="10">
        <v>6544.81</v>
      </c>
      <c r="G21" s="10">
        <v>4000</v>
      </c>
      <c r="H21" s="10">
        <v>5426.23</v>
      </c>
      <c r="I21" s="10">
        <v>4000</v>
      </c>
    </row>
    <row r="22" spans="1:11" x14ac:dyDescent="0.25">
      <c r="A22" t="s">
        <v>188</v>
      </c>
      <c r="C22" s="10"/>
      <c r="D22" s="10"/>
      <c r="E22" s="10"/>
      <c r="F22" s="10"/>
      <c r="G22" s="10"/>
      <c r="H22" s="10"/>
      <c r="I22" s="10"/>
    </row>
    <row r="23" spans="1:11" x14ac:dyDescent="0.25">
      <c r="A23" t="s">
        <v>400</v>
      </c>
      <c r="B23" t="s">
        <v>190</v>
      </c>
      <c r="C23" s="10">
        <f>0.075*SUM(C20:C21)</f>
        <v>2378.0250000000001</v>
      </c>
      <c r="D23" s="10">
        <v>2308.48</v>
      </c>
      <c r="E23" s="10">
        <f>0.075*SUM(E20:E21)</f>
        <v>2300.04</v>
      </c>
      <c r="F23" s="10">
        <v>2357.84</v>
      </c>
      <c r="G23" s="10">
        <f>0.075*SUM(G20:G21)</f>
        <v>2150.94</v>
      </c>
      <c r="H23" s="10">
        <v>2323.13</v>
      </c>
      <c r="I23" s="10">
        <v>1863</v>
      </c>
    </row>
    <row r="24" spans="1:11" x14ac:dyDescent="0.25">
      <c r="A24" t="s">
        <v>401</v>
      </c>
      <c r="B24" t="s">
        <v>82</v>
      </c>
      <c r="C24" s="10">
        <f>0.062*SUM(C20:C21)</f>
        <v>1965.8340000000001</v>
      </c>
      <c r="D24" s="10">
        <v>1870.31</v>
      </c>
      <c r="E24" s="10">
        <f>0.062*SUM(E20:E21)</f>
        <v>1901.3664000000001</v>
      </c>
      <c r="F24" s="10">
        <v>1909.04</v>
      </c>
      <c r="G24" s="10">
        <f>0.062*SUM(G20:G21)</f>
        <v>1778.1104</v>
      </c>
      <c r="H24" s="10">
        <v>1920.53</v>
      </c>
      <c r="I24" s="10">
        <v>1540</v>
      </c>
    </row>
    <row r="25" spans="1:11" x14ac:dyDescent="0.25">
      <c r="A25" t="s">
        <v>402</v>
      </c>
      <c r="B25" t="s">
        <v>84</v>
      </c>
      <c r="C25" s="10">
        <f>0.0145*SUM(C20:C21)</f>
        <v>459.75150000000002</v>
      </c>
      <c r="D25" s="10">
        <v>437.46</v>
      </c>
      <c r="E25" s="10">
        <f>0.0145*SUM(E20:E21)</f>
        <v>444.67440000000005</v>
      </c>
      <c r="F25" s="10">
        <v>446.56</v>
      </c>
      <c r="G25" s="10">
        <f>0.0145*SUM(G20:G21)</f>
        <v>415.84840000000003</v>
      </c>
      <c r="H25" s="10">
        <v>449.12</v>
      </c>
      <c r="I25" s="10">
        <v>360</v>
      </c>
    </row>
    <row r="26" spans="1:11" x14ac:dyDescent="0.25">
      <c r="A26" t="s">
        <v>183</v>
      </c>
      <c r="C26" s="10"/>
      <c r="D26" s="10"/>
      <c r="E26" s="10"/>
      <c r="F26" s="10"/>
      <c r="G26" s="10"/>
      <c r="H26" s="10"/>
      <c r="I26" s="10"/>
    </row>
    <row r="27" spans="1:11" x14ac:dyDescent="0.25">
      <c r="A27" t="s">
        <v>403</v>
      </c>
      <c r="B27" t="s">
        <v>185</v>
      </c>
      <c r="C27" s="10">
        <v>11400</v>
      </c>
      <c r="D27" s="10">
        <v>3900.82</v>
      </c>
      <c r="E27" s="10">
        <f>(950*12)/2</f>
        <v>5700</v>
      </c>
      <c r="F27" s="10">
        <v>4126.78</v>
      </c>
      <c r="G27" s="10">
        <f>(900*12)/2</f>
        <v>5400</v>
      </c>
      <c r="H27" s="10">
        <v>4927.42</v>
      </c>
      <c r="I27" s="116">
        <v>4818</v>
      </c>
    </row>
    <row r="28" spans="1:11" x14ac:dyDescent="0.25">
      <c r="A28" t="s">
        <v>404</v>
      </c>
      <c r="B28" t="s">
        <v>187</v>
      </c>
      <c r="C28" s="10">
        <v>397.5</v>
      </c>
      <c r="D28" s="10">
        <v>351.44</v>
      </c>
      <c r="E28" s="10">
        <v>383</v>
      </c>
      <c r="F28" s="10">
        <v>370.98</v>
      </c>
      <c r="G28" s="10">
        <f>(51.22*12)/2</f>
        <v>307.32</v>
      </c>
      <c r="H28" s="10">
        <v>363.59</v>
      </c>
      <c r="I28" s="116">
        <v>353</v>
      </c>
    </row>
    <row r="29" spans="1:11" x14ac:dyDescent="0.25">
      <c r="A29" t="s">
        <v>43</v>
      </c>
      <c r="C29" s="10"/>
      <c r="D29" s="10"/>
      <c r="E29" s="10"/>
      <c r="F29" s="10"/>
      <c r="G29" s="10"/>
      <c r="H29" s="10"/>
      <c r="I29" s="10"/>
    </row>
    <row r="30" spans="1:11" x14ac:dyDescent="0.25">
      <c r="A30" t="s">
        <v>405</v>
      </c>
      <c r="B30" t="s">
        <v>182</v>
      </c>
      <c r="C30" s="10">
        <v>2500</v>
      </c>
      <c r="D30" s="10">
        <v>2408</v>
      </c>
      <c r="E30" s="10">
        <v>3500</v>
      </c>
      <c r="F30" s="10">
        <v>3574.25</v>
      </c>
      <c r="G30" s="10">
        <v>2000</v>
      </c>
      <c r="H30" s="10">
        <v>3209.18</v>
      </c>
      <c r="I30" s="10">
        <v>2000</v>
      </c>
    </row>
    <row r="31" spans="1:11" x14ac:dyDescent="0.25">
      <c r="A31" t="s">
        <v>149</v>
      </c>
      <c r="C31" s="10"/>
      <c r="D31" s="10"/>
      <c r="E31" s="10"/>
      <c r="F31" s="10"/>
      <c r="G31" s="10"/>
      <c r="H31" s="10"/>
      <c r="I31" s="10"/>
    </row>
    <row r="32" spans="1:11" x14ac:dyDescent="0.25">
      <c r="A32" t="s">
        <v>406</v>
      </c>
      <c r="B32" t="s">
        <v>152</v>
      </c>
      <c r="C32" s="10">
        <v>600</v>
      </c>
      <c r="D32" s="10">
        <v>1087.4000000000001</v>
      </c>
      <c r="E32" s="10">
        <v>600</v>
      </c>
      <c r="F32" s="10">
        <v>1132.29</v>
      </c>
      <c r="G32" s="10">
        <v>300</v>
      </c>
      <c r="H32" s="10">
        <v>1021.08</v>
      </c>
      <c r="I32" s="10">
        <v>300</v>
      </c>
    </row>
    <row r="33" spans="1:9" x14ac:dyDescent="0.25">
      <c r="A33" t="s">
        <v>407</v>
      </c>
      <c r="B33" t="s">
        <v>174</v>
      </c>
      <c r="C33" s="10">
        <v>300</v>
      </c>
      <c r="D33" s="10">
        <v>178.81</v>
      </c>
      <c r="E33" s="10">
        <v>300</v>
      </c>
      <c r="F33" s="10">
        <v>168.36</v>
      </c>
      <c r="G33" s="10">
        <v>300</v>
      </c>
      <c r="H33" s="10">
        <v>0</v>
      </c>
      <c r="I33" s="10">
        <v>300</v>
      </c>
    </row>
    <row r="34" spans="1:9" x14ac:dyDescent="0.25">
      <c r="A34" t="s">
        <v>408</v>
      </c>
      <c r="B34" t="s">
        <v>31</v>
      </c>
      <c r="C34" s="10">
        <v>5000</v>
      </c>
      <c r="D34" s="10">
        <v>4044.95</v>
      </c>
      <c r="E34" s="10">
        <v>6000</v>
      </c>
      <c r="F34" s="10">
        <v>6843.22</v>
      </c>
      <c r="G34" s="10">
        <v>4500</v>
      </c>
      <c r="H34" s="10">
        <v>9137.41</v>
      </c>
      <c r="I34" s="10">
        <v>3000</v>
      </c>
    </row>
    <row r="35" spans="1:9" x14ac:dyDescent="0.25">
      <c r="A35" t="s">
        <v>409</v>
      </c>
      <c r="B35" t="s">
        <v>32</v>
      </c>
      <c r="C35" s="10">
        <v>5000</v>
      </c>
      <c r="D35" s="10">
        <v>2964.14</v>
      </c>
      <c r="E35" s="10">
        <v>5000</v>
      </c>
      <c r="F35" s="10">
        <v>5644.83</v>
      </c>
      <c r="G35" s="10">
        <v>5000</v>
      </c>
      <c r="H35" s="10">
        <v>17484.57</v>
      </c>
      <c r="I35" s="10">
        <v>4500</v>
      </c>
    </row>
    <row r="36" spans="1:9" x14ac:dyDescent="0.25">
      <c r="A36" t="s">
        <v>23</v>
      </c>
      <c r="C36" s="10"/>
      <c r="D36" s="10"/>
      <c r="E36" s="10"/>
      <c r="F36" s="10"/>
      <c r="G36" s="10"/>
      <c r="H36" s="10"/>
      <c r="I36" s="10"/>
    </row>
    <row r="37" spans="1:9" x14ac:dyDescent="0.25">
      <c r="A37" t="s">
        <v>410</v>
      </c>
      <c r="B37" t="s">
        <v>141</v>
      </c>
      <c r="C37" s="10">
        <v>2000</v>
      </c>
      <c r="D37" s="10">
        <f>3043.1+593.67+51.6</f>
        <v>3688.37</v>
      </c>
      <c r="E37" s="10">
        <v>2500</v>
      </c>
      <c r="F37" s="10">
        <v>1868.97</v>
      </c>
      <c r="G37" s="10">
        <v>2500</v>
      </c>
      <c r="H37" s="10">
        <v>5167.9399999999996</v>
      </c>
      <c r="I37" s="10">
        <v>2000</v>
      </c>
    </row>
    <row r="38" spans="1:9" x14ac:dyDescent="0.25">
      <c r="A38" t="s">
        <v>411</v>
      </c>
      <c r="B38" t="s">
        <v>148</v>
      </c>
      <c r="C38" s="10">
        <v>1000</v>
      </c>
      <c r="D38" s="10">
        <v>1188.99</v>
      </c>
      <c r="E38" s="10">
        <v>1000</v>
      </c>
      <c r="F38" s="10">
        <v>471.93</v>
      </c>
      <c r="G38" s="10">
        <v>1500</v>
      </c>
      <c r="H38" s="10">
        <v>287.35000000000002</v>
      </c>
      <c r="I38" s="10">
        <v>500</v>
      </c>
    </row>
    <row r="39" spans="1:9" x14ac:dyDescent="0.25">
      <c r="A39" t="s">
        <v>6</v>
      </c>
      <c r="C39" s="10"/>
      <c r="D39" s="10"/>
      <c r="E39" s="10"/>
      <c r="F39" s="10"/>
      <c r="G39" s="10"/>
      <c r="H39" s="10"/>
      <c r="I39" s="10"/>
    </row>
    <row r="40" spans="1:9" x14ac:dyDescent="0.25">
      <c r="A40" t="s">
        <v>412</v>
      </c>
      <c r="B40" t="s">
        <v>8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x14ac:dyDescent="0.25">
      <c r="A41" t="s">
        <v>413</v>
      </c>
      <c r="B41" t="s">
        <v>771</v>
      </c>
      <c r="C41" s="10">
        <v>12000</v>
      </c>
      <c r="D41" s="10">
        <v>5780</v>
      </c>
      <c r="E41" s="10">
        <v>15000</v>
      </c>
      <c r="F41" s="10">
        <v>17388.689999999999</v>
      </c>
      <c r="G41" s="10">
        <v>15000</v>
      </c>
      <c r="H41" s="10">
        <v>12403.74</v>
      </c>
      <c r="I41" s="10">
        <v>15000</v>
      </c>
    </row>
    <row r="42" spans="1:9" x14ac:dyDescent="0.25">
      <c r="A42" t="s">
        <v>414</v>
      </c>
      <c r="B42" t="s">
        <v>94</v>
      </c>
      <c r="C42" s="10">
        <v>500</v>
      </c>
      <c r="D42" s="10">
        <v>698.38</v>
      </c>
      <c r="E42" s="10">
        <v>500</v>
      </c>
      <c r="F42" s="10">
        <v>662.25</v>
      </c>
      <c r="G42" s="10">
        <v>500</v>
      </c>
      <c r="H42" s="10">
        <v>778.8</v>
      </c>
      <c r="I42" s="10">
        <v>500</v>
      </c>
    </row>
    <row r="43" spans="1:9" x14ac:dyDescent="0.25">
      <c r="A43" t="s">
        <v>5</v>
      </c>
      <c r="C43" s="10"/>
      <c r="D43" s="10"/>
      <c r="E43" s="10"/>
      <c r="F43" s="10"/>
      <c r="G43" s="10"/>
      <c r="H43" s="10"/>
      <c r="I43" s="10"/>
    </row>
    <row r="44" spans="1:9" x14ac:dyDescent="0.25">
      <c r="A44" t="s">
        <v>415</v>
      </c>
      <c r="B44" t="s">
        <v>89</v>
      </c>
      <c r="C44" s="10">
        <v>1100</v>
      </c>
      <c r="D44" s="10">
        <v>1079.0999999999999</v>
      </c>
      <c r="E44" s="10">
        <v>1000</v>
      </c>
      <c r="F44" s="10">
        <v>1273.58</v>
      </c>
      <c r="G44" s="10">
        <v>1000</v>
      </c>
      <c r="H44" s="10">
        <v>1213.21</v>
      </c>
      <c r="I44" s="10">
        <v>1000</v>
      </c>
    </row>
    <row r="45" spans="1:9" x14ac:dyDescent="0.25">
      <c r="A45" s="27" t="s">
        <v>696</v>
      </c>
      <c r="B45" s="27" t="s">
        <v>90</v>
      </c>
      <c r="C45" s="57">
        <v>0</v>
      </c>
      <c r="D45" s="57">
        <v>0</v>
      </c>
      <c r="E45" s="57">
        <v>0</v>
      </c>
      <c r="F45" s="57">
        <f>13.09+384</f>
        <v>397.09</v>
      </c>
      <c r="G45" s="57">
        <v>0</v>
      </c>
      <c r="H45" s="57">
        <v>284.33999999999997</v>
      </c>
      <c r="I45" s="10">
        <v>0</v>
      </c>
    </row>
    <row r="46" spans="1:9" x14ac:dyDescent="0.25">
      <c r="A46" s="13" t="s">
        <v>128</v>
      </c>
      <c r="C46" s="10"/>
      <c r="D46" s="10"/>
      <c r="E46" s="10"/>
      <c r="F46" s="10"/>
      <c r="G46" s="10"/>
      <c r="H46" s="10"/>
      <c r="I46" s="10"/>
    </row>
    <row r="47" spans="1:9" x14ac:dyDescent="0.25">
      <c r="A47" s="27" t="s">
        <v>791</v>
      </c>
      <c r="B47" s="27" t="s">
        <v>86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10">
        <v>0</v>
      </c>
    </row>
    <row r="48" spans="1:9" x14ac:dyDescent="0.25">
      <c r="A48" t="s">
        <v>416</v>
      </c>
      <c r="B48" t="s">
        <v>130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</row>
    <row r="49" spans="1:9" x14ac:dyDescent="0.25">
      <c r="A49" t="s">
        <v>417</v>
      </c>
      <c r="B49" t="s">
        <v>131</v>
      </c>
      <c r="C49" s="10">
        <v>1200</v>
      </c>
      <c r="D49" s="10">
        <v>1333</v>
      </c>
      <c r="E49" s="10">
        <v>900</v>
      </c>
      <c r="F49" s="10">
        <v>838</v>
      </c>
      <c r="G49" s="10">
        <v>500</v>
      </c>
      <c r="H49" s="10">
        <v>802</v>
      </c>
      <c r="I49" s="10">
        <v>500</v>
      </c>
    </row>
    <row r="50" spans="1:9" x14ac:dyDescent="0.25">
      <c r="A50" t="s">
        <v>121</v>
      </c>
      <c r="C50" s="10"/>
      <c r="D50" s="10"/>
      <c r="E50" s="10"/>
      <c r="F50" s="10"/>
      <c r="G50" s="10"/>
      <c r="H50" s="10"/>
      <c r="I50" s="10"/>
    </row>
    <row r="51" spans="1:9" x14ac:dyDescent="0.25">
      <c r="A51" t="s">
        <v>418</v>
      </c>
      <c r="B51" t="s">
        <v>122</v>
      </c>
      <c r="C51" s="10">
        <v>35000</v>
      </c>
      <c r="D51" s="10">
        <v>27859.9</v>
      </c>
      <c r="E51" s="10">
        <v>35000</v>
      </c>
      <c r="F51" s="10">
        <v>33551.040000000001</v>
      </c>
      <c r="G51" s="10">
        <v>35000</v>
      </c>
      <c r="H51" s="10">
        <v>30434.32</v>
      </c>
      <c r="I51" s="10">
        <v>35000</v>
      </c>
    </row>
    <row r="52" spans="1:9" x14ac:dyDescent="0.25">
      <c r="A52" t="s">
        <v>419</v>
      </c>
      <c r="B52" t="s">
        <v>123</v>
      </c>
      <c r="C52" s="10">
        <v>35000</v>
      </c>
      <c r="D52" s="10">
        <v>30262.36</v>
      </c>
      <c r="E52" s="10">
        <v>30000</v>
      </c>
      <c r="F52" s="10">
        <v>37230.93</v>
      </c>
      <c r="G52" s="10">
        <v>35000</v>
      </c>
      <c r="H52" s="10">
        <v>27480.959999999999</v>
      </c>
      <c r="I52" s="10">
        <v>35000</v>
      </c>
    </row>
    <row r="53" spans="1:9" x14ac:dyDescent="0.25">
      <c r="A53" t="s">
        <v>420</v>
      </c>
      <c r="B53" t="s">
        <v>124</v>
      </c>
      <c r="C53" s="10">
        <v>1500</v>
      </c>
      <c r="D53" s="10">
        <v>659.28</v>
      </c>
      <c r="E53" s="10">
        <v>1500</v>
      </c>
      <c r="F53" s="10">
        <v>887.11</v>
      </c>
      <c r="G53" s="10">
        <v>1500</v>
      </c>
      <c r="H53" s="10">
        <v>701.86</v>
      </c>
      <c r="I53" s="10">
        <v>1500</v>
      </c>
    </row>
    <row r="54" spans="1:9" x14ac:dyDescent="0.25">
      <c r="A54" s="27" t="s">
        <v>693</v>
      </c>
      <c r="C54" s="10"/>
      <c r="D54" s="10"/>
      <c r="E54" s="10"/>
      <c r="F54" s="10"/>
      <c r="G54" s="10"/>
      <c r="H54" s="10"/>
      <c r="I54" s="10"/>
    </row>
    <row r="55" spans="1:9" x14ac:dyDescent="0.25">
      <c r="A55" s="27" t="s">
        <v>694</v>
      </c>
      <c r="B55" s="27" t="s">
        <v>888</v>
      </c>
      <c r="C55" s="57">
        <v>25000</v>
      </c>
      <c r="D55" s="57">
        <v>22500</v>
      </c>
      <c r="E55" s="57">
        <v>22500</v>
      </c>
      <c r="F55" s="57">
        <v>22500</v>
      </c>
      <c r="G55" s="57">
        <v>22500</v>
      </c>
      <c r="H55" s="57">
        <v>22500</v>
      </c>
      <c r="I55" s="10">
        <v>22500</v>
      </c>
    </row>
    <row r="56" spans="1:9" x14ac:dyDescent="0.25">
      <c r="A56" s="27" t="s">
        <v>495</v>
      </c>
      <c r="B56" s="27"/>
      <c r="C56" s="57"/>
      <c r="D56" s="57"/>
      <c r="E56" s="57"/>
      <c r="F56" s="57"/>
      <c r="G56" s="57"/>
      <c r="H56" s="57"/>
      <c r="I56" s="10"/>
    </row>
    <row r="57" spans="1:9" x14ac:dyDescent="0.25">
      <c r="A57" s="131" t="s">
        <v>966</v>
      </c>
      <c r="B57" s="131" t="s">
        <v>967</v>
      </c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13299</v>
      </c>
      <c r="I57" s="116">
        <v>959000</v>
      </c>
    </row>
    <row r="58" spans="1:9" x14ac:dyDescent="0.25">
      <c r="A58" s="131" t="s">
        <v>1141</v>
      </c>
      <c r="B58" s="131" t="s">
        <v>1142</v>
      </c>
      <c r="C58" s="115">
        <v>0</v>
      </c>
      <c r="D58" s="115">
        <v>0</v>
      </c>
      <c r="E58" s="115">
        <v>0</v>
      </c>
      <c r="F58" s="115">
        <v>3097.46</v>
      </c>
      <c r="G58" s="115"/>
      <c r="H58" s="115"/>
      <c r="I58" s="116"/>
    </row>
    <row r="59" spans="1:9" x14ac:dyDescent="0.25">
      <c r="A59" s="27" t="s">
        <v>844</v>
      </c>
      <c r="C59" s="10"/>
      <c r="D59" s="10"/>
      <c r="E59" s="10"/>
      <c r="F59" s="10"/>
      <c r="G59" s="10"/>
      <c r="H59" s="10"/>
      <c r="I59" s="10"/>
    </row>
    <row r="60" spans="1:9" x14ac:dyDescent="0.25">
      <c r="A60" s="27" t="s">
        <v>847</v>
      </c>
      <c r="B60" t="s">
        <v>849</v>
      </c>
      <c r="C60" s="10">
        <v>10800</v>
      </c>
      <c r="D60" s="10">
        <v>10800</v>
      </c>
      <c r="E60" s="10">
        <v>10800</v>
      </c>
      <c r="F60" s="10">
        <v>10800</v>
      </c>
      <c r="G60" s="10">
        <v>10800</v>
      </c>
      <c r="H60" s="10">
        <v>10200</v>
      </c>
      <c r="I60" s="10">
        <v>10200</v>
      </c>
    </row>
    <row r="61" spans="1:9" x14ac:dyDescent="0.25">
      <c r="A61" s="27"/>
      <c r="B61" t="s">
        <v>884</v>
      </c>
      <c r="C61" s="10">
        <v>0</v>
      </c>
      <c r="D61" s="10">
        <v>25000</v>
      </c>
      <c r="E61" s="10">
        <v>25000</v>
      </c>
      <c r="F61" s="10">
        <v>24000</v>
      </c>
      <c r="G61" s="10">
        <v>24000</v>
      </c>
      <c r="H61" s="10">
        <v>24000</v>
      </c>
      <c r="I61" s="10">
        <v>24000</v>
      </c>
    </row>
    <row r="62" spans="1:9" x14ac:dyDescent="0.25">
      <c r="A62" s="27" t="s">
        <v>848</v>
      </c>
      <c r="B62" t="s">
        <v>846</v>
      </c>
      <c r="C62" s="10">
        <v>6238</v>
      </c>
      <c r="D62" s="10">
        <v>6434</v>
      </c>
      <c r="E62" s="10">
        <v>6435</v>
      </c>
      <c r="F62" s="10">
        <v>6109.09</v>
      </c>
      <c r="G62" s="10">
        <v>6599</v>
      </c>
      <c r="H62" s="10">
        <v>6734</v>
      </c>
      <c r="I62" s="10">
        <v>6734</v>
      </c>
    </row>
    <row r="63" spans="1:9" x14ac:dyDescent="0.25">
      <c r="A63" s="27"/>
      <c r="B63" t="s">
        <v>885</v>
      </c>
      <c r="C63" s="10">
        <v>0</v>
      </c>
      <c r="D63" s="10">
        <v>500</v>
      </c>
      <c r="E63" s="10">
        <v>500</v>
      </c>
      <c r="F63" s="10">
        <v>980</v>
      </c>
      <c r="G63" s="10">
        <v>980</v>
      </c>
      <c r="H63" s="10">
        <v>1460</v>
      </c>
      <c r="I63" s="10">
        <v>1460</v>
      </c>
    </row>
    <row r="64" spans="1:9" x14ac:dyDescent="0.25">
      <c r="A64" s="27" t="s">
        <v>1200</v>
      </c>
      <c r="B64" t="s">
        <v>1201</v>
      </c>
      <c r="C64" s="10"/>
      <c r="D64" s="10">
        <v>0</v>
      </c>
      <c r="E64" s="10">
        <v>9091.4</v>
      </c>
      <c r="F64" s="10">
        <v>9091</v>
      </c>
      <c r="G64" s="10">
        <v>0</v>
      </c>
      <c r="H64" s="10">
        <v>0</v>
      </c>
      <c r="I64" s="10">
        <v>0</v>
      </c>
    </row>
    <row r="65" spans="1:9" x14ac:dyDescent="0.25">
      <c r="A65" t="s">
        <v>116</v>
      </c>
      <c r="C65" s="10"/>
      <c r="D65" s="10"/>
      <c r="E65" s="10"/>
      <c r="F65" s="10"/>
      <c r="G65" s="10"/>
      <c r="H65" s="10"/>
      <c r="I65" s="10"/>
    </row>
    <row r="66" spans="1:9" x14ac:dyDescent="0.25">
      <c r="A66" t="s">
        <v>421</v>
      </c>
      <c r="B66" t="s">
        <v>117</v>
      </c>
      <c r="C66" s="10">
        <v>5000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</row>
    <row r="67" spans="1:9" x14ac:dyDescent="0.25">
      <c r="A67" t="s">
        <v>422</v>
      </c>
      <c r="B67" t="s">
        <v>118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x14ac:dyDescent="0.25">
      <c r="A68" t="s">
        <v>423</v>
      </c>
      <c r="B68" s="27" t="s">
        <v>886</v>
      </c>
      <c r="C68" s="57">
        <v>44000</v>
      </c>
      <c r="D68" s="57">
        <v>360</v>
      </c>
      <c r="E68" s="57">
        <f>31000</f>
        <v>31000</v>
      </c>
      <c r="F68" s="57">
        <v>279.5</v>
      </c>
      <c r="G68" s="57">
        <f>15000+8000</f>
        <v>23000</v>
      </c>
      <c r="H68" s="57">
        <v>20358.82</v>
      </c>
      <c r="I68" s="10">
        <f>43000</f>
        <v>43000</v>
      </c>
    </row>
    <row r="69" spans="1:9" x14ac:dyDescent="0.25">
      <c r="A69" t="s">
        <v>424</v>
      </c>
      <c r="B69" t="s">
        <v>120</v>
      </c>
      <c r="C69" s="10">
        <v>0</v>
      </c>
      <c r="D69" s="10">
        <v>0</v>
      </c>
      <c r="E69" s="10">
        <v>10000</v>
      </c>
      <c r="F69" s="10">
        <v>0</v>
      </c>
      <c r="G69" s="10">
        <v>10000</v>
      </c>
      <c r="H69" s="10">
        <v>0</v>
      </c>
      <c r="I69" s="10">
        <v>10000</v>
      </c>
    </row>
    <row r="70" spans="1:9" x14ac:dyDescent="0.25">
      <c r="A70" t="s">
        <v>107</v>
      </c>
      <c r="C70" s="10"/>
      <c r="D70" s="10"/>
      <c r="E70" s="10"/>
      <c r="F70" s="10"/>
      <c r="G70" s="10"/>
      <c r="H70" s="10"/>
      <c r="I70" s="10"/>
    </row>
    <row r="71" spans="1:9" x14ac:dyDescent="0.25">
      <c r="A71" t="s">
        <v>425</v>
      </c>
      <c r="B71" t="s">
        <v>93</v>
      </c>
      <c r="C71" s="10">
        <v>3000</v>
      </c>
      <c r="D71" s="10">
        <v>1541</v>
      </c>
      <c r="E71" s="10">
        <v>3000</v>
      </c>
      <c r="F71" s="10">
        <v>1498</v>
      </c>
      <c r="G71" s="10">
        <v>3000</v>
      </c>
      <c r="H71" s="10">
        <v>0</v>
      </c>
      <c r="I71" s="10">
        <v>3000</v>
      </c>
    </row>
    <row r="72" spans="1:9" x14ac:dyDescent="0.25">
      <c r="A72" t="s">
        <v>426</v>
      </c>
      <c r="B72" t="s">
        <v>91</v>
      </c>
      <c r="C72" s="10">
        <v>2500</v>
      </c>
      <c r="D72" s="10">
        <v>704.35</v>
      </c>
      <c r="E72" s="10">
        <v>2500</v>
      </c>
      <c r="F72" s="10">
        <v>0</v>
      </c>
      <c r="G72" s="10">
        <v>2500</v>
      </c>
      <c r="H72" s="10">
        <v>0</v>
      </c>
      <c r="I72" s="10">
        <v>1200</v>
      </c>
    </row>
    <row r="73" spans="1:9" x14ac:dyDescent="0.25">
      <c r="C73" s="10"/>
      <c r="D73" s="10"/>
      <c r="E73" s="10"/>
      <c r="F73" s="10"/>
      <c r="G73" s="10"/>
      <c r="H73" s="10"/>
      <c r="I73" s="10"/>
    </row>
    <row r="74" spans="1:9" x14ac:dyDescent="0.25">
      <c r="B74" s="25" t="s">
        <v>58</v>
      </c>
      <c r="C74" s="24">
        <f t="shared" ref="C74:H74" si="0">SUM(C20:C72)</f>
        <v>247546.11050000001</v>
      </c>
      <c r="D74" s="24">
        <f t="shared" si="0"/>
        <v>190721.93000000002</v>
      </c>
      <c r="E74" s="24">
        <f t="shared" si="0"/>
        <v>265022.68079999997</v>
      </c>
      <c r="F74" s="24">
        <f t="shared" si="0"/>
        <v>231141.52999999997</v>
      </c>
      <c r="G74" s="146">
        <f t="shared" si="0"/>
        <v>246710.41879999998</v>
      </c>
      <c r="H74" s="146">
        <f t="shared" si="0"/>
        <v>250052.41999999998</v>
      </c>
      <c r="I74" s="10">
        <f>SUM(I20:I73)</f>
        <v>1215963</v>
      </c>
    </row>
    <row r="75" spans="1:9" x14ac:dyDescent="0.25">
      <c r="A75" s="13"/>
      <c r="C75" s="10"/>
      <c r="D75" s="10"/>
    </row>
    <row r="76" spans="1:9" x14ac:dyDescent="0.25">
      <c r="B76" s="51" t="s">
        <v>652</v>
      </c>
      <c r="C76" s="93">
        <v>0</v>
      </c>
      <c r="D76" s="57">
        <v>233990</v>
      </c>
      <c r="E76" s="144">
        <v>0</v>
      </c>
      <c r="F76" s="57">
        <v>228639</v>
      </c>
      <c r="G76" s="144">
        <v>0</v>
      </c>
      <c r="H76" s="144">
        <v>0</v>
      </c>
      <c r="I76" s="10">
        <v>0</v>
      </c>
    </row>
    <row r="79" spans="1:9" x14ac:dyDescent="0.25">
      <c r="A79" s="129" t="s">
        <v>1073</v>
      </c>
    </row>
    <row r="80" spans="1:9" x14ac:dyDescent="0.25">
      <c r="A80" s="27" t="s">
        <v>1080</v>
      </c>
    </row>
    <row r="81" spans="1:2" x14ac:dyDescent="0.25">
      <c r="A81" s="27" t="s">
        <v>958</v>
      </c>
    </row>
    <row r="82" spans="1:2" x14ac:dyDescent="0.25">
      <c r="A82" s="27" t="s">
        <v>959</v>
      </c>
    </row>
    <row r="83" spans="1:2" x14ac:dyDescent="0.25">
      <c r="A83" s="28"/>
    </row>
    <row r="84" spans="1:2" x14ac:dyDescent="0.25">
      <c r="A84" s="129" t="s">
        <v>1134</v>
      </c>
    </row>
    <row r="85" spans="1:2" x14ac:dyDescent="0.25">
      <c r="A85" s="27" t="s">
        <v>1199</v>
      </c>
    </row>
    <row r="86" spans="1:2" x14ac:dyDescent="0.25">
      <c r="A86" s="27" t="s">
        <v>1198</v>
      </c>
    </row>
    <row r="88" spans="1:2" x14ac:dyDescent="0.25">
      <c r="A88" s="129" t="s">
        <v>1151</v>
      </c>
    </row>
    <row r="89" spans="1:2" x14ac:dyDescent="0.25">
      <c r="A89" t="s">
        <v>1260</v>
      </c>
      <c r="B89" s="164"/>
    </row>
    <row r="90" spans="1:2" x14ac:dyDescent="0.25">
      <c r="A90" s="27" t="s">
        <v>1269</v>
      </c>
    </row>
    <row r="91" spans="1:2" x14ac:dyDescent="0.25">
      <c r="A91" t="s">
        <v>1261</v>
      </c>
    </row>
    <row r="92" spans="1:2" x14ac:dyDescent="0.25">
      <c r="A92" t="s">
        <v>1262</v>
      </c>
    </row>
    <row r="93" spans="1:2" x14ac:dyDescent="0.25">
      <c r="A93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5"/>
  <sheetViews>
    <sheetView topLeftCell="A34" zoomScaleNormal="100" workbookViewId="0">
      <selection activeCell="D9" sqref="D9"/>
    </sheetView>
  </sheetViews>
  <sheetFormatPr defaultRowHeight="13.2" x14ac:dyDescent="0.25"/>
  <cols>
    <col min="1" max="1" width="18.44140625" customWidth="1"/>
    <col min="2" max="2" width="27.5546875" customWidth="1"/>
    <col min="3" max="3" width="6.6640625" customWidth="1"/>
    <col min="4" max="10" width="11.6640625" customWidth="1"/>
  </cols>
  <sheetData>
    <row r="1" spans="1:10" ht="15.6" x14ac:dyDescent="0.3">
      <c r="B1" s="14" t="s">
        <v>799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42">
        <v>2017</v>
      </c>
      <c r="J1" s="42">
        <v>2017</v>
      </c>
    </row>
    <row r="2" spans="1:10" ht="12.75" customHeight="1" x14ac:dyDescent="0.3">
      <c r="A2" t="s">
        <v>40</v>
      </c>
      <c r="B2" s="14"/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 t="s">
        <v>807</v>
      </c>
      <c r="J2" s="42" t="s">
        <v>506</v>
      </c>
    </row>
    <row r="3" spans="1:10" ht="12.75" customHeight="1" x14ac:dyDescent="0.25">
      <c r="A3" t="s">
        <v>635</v>
      </c>
      <c r="B3" s="27" t="s">
        <v>473</v>
      </c>
      <c r="D3" s="10">
        <v>18000</v>
      </c>
      <c r="E3" s="10">
        <v>17910.04</v>
      </c>
      <c r="F3" s="10">
        <v>15000</v>
      </c>
      <c r="G3" s="10">
        <v>16474.759999999998</v>
      </c>
      <c r="H3" s="10">
        <v>15000</v>
      </c>
      <c r="I3" s="10">
        <v>16351.4</v>
      </c>
      <c r="J3" s="10">
        <v>15000</v>
      </c>
    </row>
    <row r="4" spans="1:10" ht="12.75" customHeight="1" x14ac:dyDescent="0.25">
      <c r="A4" t="s">
        <v>634</v>
      </c>
      <c r="B4" s="27" t="s">
        <v>827</v>
      </c>
      <c r="D4" s="10">
        <v>103000</v>
      </c>
      <c r="E4" s="10">
        <v>0</v>
      </c>
      <c r="F4" s="10">
        <v>103000</v>
      </c>
      <c r="G4" s="10">
        <v>103000</v>
      </c>
      <c r="H4" s="10">
        <v>103000</v>
      </c>
      <c r="I4" s="10">
        <v>103000</v>
      </c>
      <c r="J4" s="10">
        <v>103000</v>
      </c>
    </row>
    <row r="5" spans="1:10" ht="12.75" customHeight="1" x14ac:dyDescent="0.25">
      <c r="A5" s="27" t="s">
        <v>702</v>
      </c>
      <c r="B5" s="27" t="s">
        <v>697</v>
      </c>
      <c r="D5" s="159">
        <v>4000</v>
      </c>
      <c r="E5" s="10">
        <v>3608.36</v>
      </c>
      <c r="F5" s="10">
        <v>500</v>
      </c>
      <c r="G5" s="10">
        <v>955.6</v>
      </c>
      <c r="H5" s="10">
        <v>500</v>
      </c>
      <c r="I5" s="10">
        <v>485.07</v>
      </c>
      <c r="J5" s="10">
        <v>500</v>
      </c>
    </row>
    <row r="6" spans="1:10" ht="12.75" customHeight="1" x14ac:dyDescent="0.25">
      <c r="A6" t="s">
        <v>636</v>
      </c>
      <c r="B6" s="27" t="s">
        <v>763</v>
      </c>
      <c r="D6" s="10">
        <v>36000</v>
      </c>
      <c r="E6" s="10">
        <v>36000</v>
      </c>
      <c r="F6" s="10">
        <v>36000</v>
      </c>
      <c r="G6" s="10">
        <v>27500</v>
      </c>
      <c r="H6" s="10">
        <v>36000</v>
      </c>
      <c r="I6" s="10">
        <v>36000</v>
      </c>
      <c r="J6" s="10">
        <v>36000</v>
      </c>
    </row>
    <row r="7" spans="1:10" ht="12.75" customHeight="1" x14ac:dyDescent="0.25">
      <c r="B7" s="27" t="s">
        <v>1161</v>
      </c>
      <c r="D7" s="10">
        <v>19033</v>
      </c>
      <c r="E7" s="10"/>
      <c r="F7" s="10"/>
      <c r="G7" s="10"/>
      <c r="H7" s="10"/>
      <c r="I7" s="10"/>
      <c r="J7" s="10"/>
    </row>
    <row r="8" spans="1:10" ht="12.75" customHeight="1" x14ac:dyDescent="0.25">
      <c r="A8" s="27"/>
      <c r="B8" s="27"/>
      <c r="D8" s="10"/>
      <c r="E8" s="10"/>
      <c r="F8" s="10"/>
      <c r="G8" s="10"/>
      <c r="H8" s="10"/>
      <c r="I8" s="10"/>
    </row>
    <row r="9" spans="1:10" ht="12.75" customHeight="1" x14ac:dyDescent="0.3">
      <c r="B9" s="14"/>
      <c r="C9" s="27" t="s">
        <v>58</v>
      </c>
      <c r="D9" s="57">
        <f>D3+D4+D5+D6+D7</f>
        <v>180033</v>
      </c>
      <c r="E9" s="57">
        <f>SUM(E3:E6)</f>
        <v>57518.400000000001</v>
      </c>
      <c r="F9" s="57">
        <f>SUM(F3:F6)</f>
        <v>154500</v>
      </c>
      <c r="G9" s="57">
        <f t="shared" ref="G9:J9" si="0">SUM(G3:G8)</f>
        <v>147930.35999999999</v>
      </c>
      <c r="H9" s="57">
        <f t="shared" si="0"/>
        <v>154500</v>
      </c>
      <c r="I9" s="57">
        <f t="shared" si="0"/>
        <v>155836.47</v>
      </c>
      <c r="J9" s="22">
        <f t="shared" si="0"/>
        <v>154500</v>
      </c>
    </row>
    <row r="10" spans="1:10" ht="12.75" customHeight="1" x14ac:dyDescent="0.3">
      <c r="B10" s="14"/>
      <c r="D10" s="10"/>
      <c r="E10" s="10"/>
      <c r="F10" s="10"/>
      <c r="G10" s="10"/>
    </row>
    <row r="11" spans="1:10" x14ac:dyDescent="0.25">
      <c r="A11" t="s">
        <v>79</v>
      </c>
      <c r="D11" s="10"/>
      <c r="E11" s="10"/>
      <c r="F11" s="10"/>
      <c r="G11" s="10"/>
    </row>
    <row r="12" spans="1:10" x14ac:dyDescent="0.25">
      <c r="A12" t="s">
        <v>192</v>
      </c>
      <c r="D12" s="10"/>
      <c r="E12" s="10"/>
      <c r="F12" s="10"/>
      <c r="G12" s="10"/>
      <c r="J12" s="10"/>
    </row>
    <row r="13" spans="1:10" x14ac:dyDescent="0.25">
      <c r="A13" t="s">
        <v>604</v>
      </c>
      <c r="B13" t="s">
        <v>47</v>
      </c>
      <c r="D13" s="10">
        <f>29757+18304+12054</f>
        <v>60115</v>
      </c>
      <c r="E13" s="10">
        <v>48106.93</v>
      </c>
      <c r="F13" s="10">
        <f>17430.4+11471.2+28327</f>
        <v>57228.600000000006</v>
      </c>
      <c r="G13" s="10">
        <v>51373.4</v>
      </c>
      <c r="H13" s="10">
        <f>27495+16920.8+11138.4</f>
        <v>55554.200000000004</v>
      </c>
      <c r="I13" s="10">
        <v>51264.36</v>
      </c>
      <c r="J13" s="10">
        <f>(25779+19812+10483)*1.03</f>
        <v>57756.22</v>
      </c>
    </row>
    <row r="14" spans="1:10" x14ac:dyDescent="0.25">
      <c r="A14" t="s">
        <v>188</v>
      </c>
      <c r="D14" s="10"/>
      <c r="E14" s="10"/>
      <c r="F14" s="10"/>
      <c r="G14" s="10"/>
      <c r="H14" s="10"/>
      <c r="I14" s="10"/>
      <c r="J14" s="10"/>
    </row>
    <row r="15" spans="1:10" x14ac:dyDescent="0.25">
      <c r="A15" t="s">
        <v>606</v>
      </c>
      <c r="B15" t="s">
        <v>190</v>
      </c>
      <c r="D15" s="10">
        <f>0.075*SUM(D13)</f>
        <v>4508.625</v>
      </c>
      <c r="E15" s="10">
        <v>3608.04</v>
      </c>
      <c r="F15" s="10">
        <f>0.075*SUM(F13)</f>
        <v>4292.1450000000004</v>
      </c>
      <c r="G15" s="10">
        <v>3757.65</v>
      </c>
      <c r="H15" s="10">
        <f>H13*0.075</f>
        <v>4166.5650000000005</v>
      </c>
      <c r="I15" s="10">
        <v>3844.09</v>
      </c>
      <c r="J15" s="10">
        <f>J13*0.075</f>
        <v>4331.7164999999995</v>
      </c>
    </row>
    <row r="16" spans="1:10" x14ac:dyDescent="0.25">
      <c r="A16" t="s">
        <v>605</v>
      </c>
      <c r="B16" t="s">
        <v>82</v>
      </c>
      <c r="D16" s="10">
        <f>0.062*SUM(D13)</f>
        <v>3727.13</v>
      </c>
      <c r="E16" s="10">
        <v>2957.21</v>
      </c>
      <c r="F16" s="10">
        <f>0.062*SUM(F13)</f>
        <v>3548.1732000000002</v>
      </c>
      <c r="G16" s="10">
        <v>3148.33</v>
      </c>
      <c r="H16" s="10">
        <f>H13*0.062</f>
        <v>3444.3604</v>
      </c>
      <c r="I16" s="10">
        <v>3150.07</v>
      </c>
      <c r="J16" s="10">
        <f>J13*0.062</f>
        <v>3580.88564</v>
      </c>
    </row>
    <row r="17" spans="1:12" x14ac:dyDescent="0.25">
      <c r="A17" t="s">
        <v>607</v>
      </c>
      <c r="B17" t="s">
        <v>84</v>
      </c>
      <c r="D17" s="10">
        <f>0.0145*SUM(D13)</f>
        <v>871.66750000000002</v>
      </c>
      <c r="E17" s="10">
        <v>691.7</v>
      </c>
      <c r="F17" s="10">
        <f>0.0145*SUM(F13)</f>
        <v>829.81470000000013</v>
      </c>
      <c r="G17" s="10">
        <v>736.41</v>
      </c>
      <c r="H17" s="10">
        <f>0.0145*H13</f>
        <v>805.53590000000008</v>
      </c>
      <c r="I17" s="10">
        <v>736.66</v>
      </c>
      <c r="J17" s="10">
        <f>J13*0.0145</f>
        <v>837.46519000000001</v>
      </c>
    </row>
    <row r="18" spans="1:12" x14ac:dyDescent="0.25">
      <c r="A18" t="s">
        <v>183</v>
      </c>
      <c r="D18" s="10"/>
      <c r="E18" s="10"/>
      <c r="F18" s="10"/>
      <c r="G18" s="10"/>
      <c r="H18" s="10"/>
      <c r="I18" s="10"/>
      <c r="J18" s="10"/>
      <c r="L18" s="22"/>
    </row>
    <row r="19" spans="1:12" x14ac:dyDescent="0.25">
      <c r="A19" t="s">
        <v>608</v>
      </c>
      <c r="B19" t="s">
        <v>185</v>
      </c>
      <c r="D19" s="10">
        <v>14250</v>
      </c>
      <c r="E19" s="10">
        <v>5329.94</v>
      </c>
      <c r="F19" s="10">
        <f>(950*12)*0.625</f>
        <v>7125</v>
      </c>
      <c r="G19" s="10">
        <v>5639.52</v>
      </c>
      <c r="H19" s="10">
        <f>(900*12)*0.625</f>
        <v>6750</v>
      </c>
      <c r="I19" s="10">
        <v>6070.68</v>
      </c>
      <c r="J19" s="10">
        <v>6023</v>
      </c>
    </row>
    <row r="20" spans="1:12" x14ac:dyDescent="0.25">
      <c r="A20" t="s">
        <v>609</v>
      </c>
      <c r="B20" t="s">
        <v>187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2" x14ac:dyDescent="0.25">
      <c r="A21" t="s">
        <v>43</v>
      </c>
      <c r="D21" s="10"/>
      <c r="E21" s="10"/>
      <c r="F21" s="10"/>
      <c r="G21" s="10"/>
      <c r="H21" s="10"/>
      <c r="I21" s="10"/>
      <c r="J21" s="10"/>
    </row>
    <row r="22" spans="1:12" x14ac:dyDescent="0.25">
      <c r="A22" t="s">
        <v>610</v>
      </c>
      <c r="B22" t="s">
        <v>182</v>
      </c>
      <c r="D22" s="10">
        <v>425</v>
      </c>
      <c r="E22" s="10">
        <v>427</v>
      </c>
      <c r="F22" s="10">
        <v>425</v>
      </c>
      <c r="G22" s="10">
        <v>400.84</v>
      </c>
      <c r="H22" s="10">
        <v>425</v>
      </c>
      <c r="I22" s="10">
        <v>418</v>
      </c>
      <c r="J22" s="10">
        <v>425</v>
      </c>
    </row>
    <row r="23" spans="1:12" x14ac:dyDescent="0.25">
      <c r="A23" t="s">
        <v>616</v>
      </c>
      <c r="D23" s="10"/>
      <c r="E23" s="10"/>
      <c r="F23" s="10"/>
      <c r="G23" s="10"/>
      <c r="H23" s="10"/>
      <c r="I23" s="10"/>
      <c r="J23" s="10"/>
    </row>
    <row r="24" spans="1:12" x14ac:dyDescent="0.25">
      <c r="A24" t="s">
        <v>617</v>
      </c>
      <c r="B24" t="s">
        <v>529</v>
      </c>
      <c r="D24" s="10">
        <v>75</v>
      </c>
      <c r="E24" s="10">
        <v>0</v>
      </c>
      <c r="F24" s="10">
        <v>75</v>
      </c>
      <c r="G24" s="10">
        <v>0</v>
      </c>
      <c r="H24" s="10">
        <v>75</v>
      </c>
      <c r="I24" s="10">
        <v>401.14</v>
      </c>
      <c r="J24" s="10">
        <v>75</v>
      </c>
    </row>
    <row r="25" spans="1:12" x14ac:dyDescent="0.25">
      <c r="A25" t="s">
        <v>618</v>
      </c>
      <c r="B25" t="s">
        <v>35</v>
      </c>
      <c r="D25" s="10">
        <v>200</v>
      </c>
      <c r="E25" s="10">
        <v>0</v>
      </c>
      <c r="F25" s="10">
        <v>200</v>
      </c>
      <c r="G25" s="10">
        <v>0</v>
      </c>
      <c r="H25" s="10">
        <v>200</v>
      </c>
      <c r="I25" s="10">
        <v>0</v>
      </c>
      <c r="J25" s="10">
        <v>200</v>
      </c>
    </row>
    <row r="26" spans="1:12" x14ac:dyDescent="0.25">
      <c r="A26" t="s">
        <v>619</v>
      </c>
      <c r="B26" t="s">
        <v>620</v>
      </c>
      <c r="D26" s="10">
        <v>200</v>
      </c>
      <c r="E26" s="10">
        <v>151.55000000000001</v>
      </c>
      <c r="F26" s="10">
        <v>200</v>
      </c>
      <c r="G26" s="10">
        <v>35.840000000000003</v>
      </c>
      <c r="H26" s="10">
        <v>200</v>
      </c>
      <c r="I26" s="10">
        <v>70.34</v>
      </c>
      <c r="J26" s="10">
        <v>200</v>
      </c>
    </row>
    <row r="27" spans="1:12" x14ac:dyDescent="0.25">
      <c r="A27" t="s">
        <v>621</v>
      </c>
      <c r="B27" t="s">
        <v>546</v>
      </c>
      <c r="D27" s="10">
        <v>388</v>
      </c>
      <c r="E27" s="10">
        <v>0</v>
      </c>
      <c r="F27" s="10">
        <v>388</v>
      </c>
      <c r="G27" s="10">
        <v>0</v>
      </c>
      <c r="H27" s="10">
        <v>388</v>
      </c>
      <c r="I27" s="10">
        <v>35.25</v>
      </c>
      <c r="J27" s="10">
        <v>388</v>
      </c>
    </row>
    <row r="28" spans="1:12" x14ac:dyDescent="0.25">
      <c r="A28" t="s">
        <v>622</v>
      </c>
      <c r="D28" s="10"/>
      <c r="E28" s="10"/>
      <c r="F28" s="10"/>
      <c r="G28" s="10"/>
      <c r="H28" s="10"/>
      <c r="I28" s="10"/>
      <c r="J28" s="10"/>
    </row>
    <row r="29" spans="1:12" x14ac:dyDescent="0.25">
      <c r="A29" t="s">
        <v>623</v>
      </c>
      <c r="B29" t="s">
        <v>546</v>
      </c>
      <c r="D29" s="10">
        <v>800</v>
      </c>
      <c r="E29" s="10">
        <v>1212.8900000000001</v>
      </c>
      <c r="F29" s="10">
        <v>800</v>
      </c>
      <c r="G29" s="10">
        <f>1015+24</f>
        <v>1039</v>
      </c>
      <c r="H29" s="10">
        <v>800</v>
      </c>
      <c r="I29" s="10">
        <v>1311.78</v>
      </c>
      <c r="J29" s="10">
        <v>800</v>
      </c>
    </row>
    <row r="30" spans="1:12" x14ac:dyDescent="0.25">
      <c r="A30" t="s">
        <v>599</v>
      </c>
      <c r="D30" s="10"/>
      <c r="E30" s="10"/>
      <c r="F30" s="10"/>
      <c r="G30" s="10"/>
      <c r="H30" s="10"/>
      <c r="I30" s="10"/>
      <c r="J30" s="10"/>
    </row>
    <row r="31" spans="1:12" x14ac:dyDescent="0.25">
      <c r="A31" t="s">
        <v>611</v>
      </c>
      <c r="B31" t="s">
        <v>8</v>
      </c>
      <c r="D31" s="10">
        <v>1950</v>
      </c>
      <c r="E31" s="10">
        <v>1700</v>
      </c>
      <c r="F31" s="10">
        <v>1950</v>
      </c>
      <c r="G31" s="10">
        <v>0</v>
      </c>
      <c r="H31" s="10">
        <v>1950</v>
      </c>
      <c r="I31" s="10">
        <v>1950</v>
      </c>
      <c r="J31" s="10">
        <v>1950</v>
      </c>
    </row>
    <row r="32" spans="1:12" x14ac:dyDescent="0.25">
      <c r="A32" t="s">
        <v>5</v>
      </c>
      <c r="D32" s="10"/>
      <c r="E32" s="10"/>
      <c r="F32" s="10"/>
      <c r="G32" s="10"/>
      <c r="H32" s="10"/>
      <c r="I32" s="10"/>
      <c r="J32" s="10"/>
    </row>
    <row r="33" spans="1:10" x14ac:dyDescent="0.25">
      <c r="A33" t="s">
        <v>629</v>
      </c>
      <c r="B33" t="s">
        <v>89</v>
      </c>
      <c r="D33" s="10">
        <v>1000</v>
      </c>
      <c r="E33" s="10">
        <v>510.72</v>
      </c>
      <c r="F33" s="10">
        <v>1000</v>
      </c>
      <c r="G33" s="10">
        <v>517.14</v>
      </c>
      <c r="H33" s="10">
        <v>1000</v>
      </c>
      <c r="I33" s="10">
        <f>281.14+70</f>
        <v>351.14</v>
      </c>
      <c r="J33" s="10">
        <v>1000</v>
      </c>
    </row>
    <row r="34" spans="1:10" x14ac:dyDescent="0.25">
      <c r="A34" t="s">
        <v>136</v>
      </c>
      <c r="D34" s="10"/>
      <c r="E34" s="10"/>
      <c r="F34" s="10"/>
      <c r="G34" s="10"/>
      <c r="H34" s="10"/>
      <c r="I34" s="10"/>
      <c r="J34" s="10"/>
    </row>
    <row r="35" spans="1:10" x14ac:dyDescent="0.25">
      <c r="A35" t="s">
        <v>630</v>
      </c>
      <c r="B35" t="s">
        <v>137</v>
      </c>
      <c r="D35" s="10">
        <v>260</v>
      </c>
      <c r="E35" s="10">
        <v>0</v>
      </c>
      <c r="F35" s="10">
        <v>260</v>
      </c>
      <c r="G35" s="10">
        <v>0</v>
      </c>
      <c r="H35" s="10">
        <v>260</v>
      </c>
      <c r="I35" s="10">
        <v>0</v>
      </c>
      <c r="J35" s="10">
        <v>260</v>
      </c>
    </row>
    <row r="36" spans="1:10" x14ac:dyDescent="0.25">
      <c r="A36" s="13" t="s">
        <v>128</v>
      </c>
      <c r="D36" s="10"/>
      <c r="E36" s="10"/>
      <c r="F36" s="10"/>
      <c r="G36" s="10"/>
      <c r="H36" s="10"/>
      <c r="I36" s="10"/>
      <c r="J36" s="10"/>
    </row>
    <row r="37" spans="1:10" x14ac:dyDescent="0.25">
      <c r="A37" t="s">
        <v>612</v>
      </c>
      <c r="B37" t="s">
        <v>130</v>
      </c>
      <c r="D37" s="10">
        <v>900</v>
      </c>
      <c r="E37" s="10">
        <v>1094</v>
      </c>
      <c r="F37" s="10">
        <v>900</v>
      </c>
      <c r="G37" s="10">
        <v>1020</v>
      </c>
      <c r="H37" s="10">
        <v>898</v>
      </c>
      <c r="I37" s="10">
        <v>984</v>
      </c>
      <c r="J37" s="10">
        <v>898</v>
      </c>
    </row>
    <row r="38" spans="1:10" x14ac:dyDescent="0.25">
      <c r="A38" t="s">
        <v>495</v>
      </c>
      <c r="D38" s="10"/>
      <c r="E38" s="10"/>
      <c r="F38" s="10"/>
      <c r="G38" s="10"/>
      <c r="H38" s="10"/>
      <c r="I38" s="10"/>
      <c r="J38" s="10"/>
    </row>
    <row r="39" spans="1:10" x14ac:dyDescent="0.25">
      <c r="A39" t="s">
        <v>631</v>
      </c>
      <c r="B39" t="s">
        <v>632</v>
      </c>
      <c r="D39" s="10">
        <v>6000</v>
      </c>
      <c r="E39" s="10">
        <v>0</v>
      </c>
      <c r="F39" s="10">
        <v>6000</v>
      </c>
      <c r="G39" s="10">
        <v>2245</v>
      </c>
      <c r="H39" s="10">
        <v>6000</v>
      </c>
      <c r="I39" s="10">
        <v>0</v>
      </c>
      <c r="J39" s="10">
        <v>6000</v>
      </c>
    </row>
    <row r="40" spans="1:10" x14ac:dyDescent="0.25">
      <c r="A40" t="s">
        <v>633</v>
      </c>
      <c r="D40" s="10"/>
      <c r="E40" s="10"/>
      <c r="F40" s="10"/>
      <c r="G40" s="10"/>
      <c r="H40" s="10"/>
      <c r="I40" s="10"/>
      <c r="J40" s="10"/>
    </row>
    <row r="41" spans="1:10" x14ac:dyDescent="0.25">
      <c r="A41" t="s">
        <v>654</v>
      </c>
      <c r="B41" t="s">
        <v>655</v>
      </c>
      <c r="D41" s="10">
        <v>5000</v>
      </c>
      <c r="E41" s="10">
        <v>2632</v>
      </c>
      <c r="F41" s="10">
        <v>5000</v>
      </c>
      <c r="G41" s="10">
        <v>3602</v>
      </c>
      <c r="H41" s="10">
        <v>5000</v>
      </c>
      <c r="I41" s="10">
        <v>3430</v>
      </c>
      <c r="J41" s="10">
        <v>5000</v>
      </c>
    </row>
    <row r="42" spans="1:10" x14ac:dyDescent="0.25">
      <c r="A42" t="s">
        <v>112</v>
      </c>
      <c r="D42" s="10"/>
      <c r="E42" s="10"/>
      <c r="F42" s="10"/>
      <c r="G42" s="10"/>
      <c r="H42" s="10"/>
      <c r="I42" s="10"/>
      <c r="J42" s="10"/>
    </row>
    <row r="43" spans="1:10" x14ac:dyDescent="0.25">
      <c r="A43" t="s">
        <v>613</v>
      </c>
      <c r="B43" t="s">
        <v>113</v>
      </c>
      <c r="D43" s="10">
        <v>700</v>
      </c>
      <c r="E43" s="10">
        <v>0</v>
      </c>
      <c r="F43" s="10">
        <v>700</v>
      </c>
      <c r="G43" s="10">
        <v>0</v>
      </c>
      <c r="H43" s="10">
        <v>700</v>
      </c>
      <c r="I43" s="10">
        <v>0</v>
      </c>
      <c r="J43" s="10">
        <v>700</v>
      </c>
    </row>
    <row r="44" spans="1:10" x14ac:dyDescent="0.25">
      <c r="A44" t="s">
        <v>614</v>
      </c>
      <c r="B44" t="s">
        <v>115</v>
      </c>
      <c r="D44" s="10">
        <v>46980</v>
      </c>
      <c r="E44" s="10">
        <v>24300</v>
      </c>
      <c r="F44" s="10">
        <v>46980</v>
      </c>
      <c r="G44" s="10">
        <v>32400</v>
      </c>
      <c r="H44" s="10">
        <f>31980+15000</f>
        <v>46980</v>
      </c>
      <c r="I44" s="10">
        <v>32400</v>
      </c>
      <c r="J44" s="10">
        <v>31980</v>
      </c>
    </row>
    <row r="45" spans="1:10" x14ac:dyDescent="0.25">
      <c r="A45" t="s">
        <v>615</v>
      </c>
      <c r="B45" t="s">
        <v>94</v>
      </c>
      <c r="D45" s="10">
        <v>13342</v>
      </c>
      <c r="E45" s="10">
        <v>5992</v>
      </c>
      <c r="F45" s="10">
        <v>13342</v>
      </c>
      <c r="G45" s="10">
        <v>7737</v>
      </c>
      <c r="H45" s="10">
        <v>13342</v>
      </c>
      <c r="I45" s="10">
        <v>7708</v>
      </c>
      <c r="J45" s="10">
        <v>13342</v>
      </c>
    </row>
    <row r="46" spans="1:10" x14ac:dyDescent="0.25">
      <c r="A46" t="s">
        <v>581</v>
      </c>
      <c r="D46" s="10"/>
      <c r="E46" s="10"/>
      <c r="F46" s="10"/>
      <c r="G46" s="10"/>
      <c r="H46" s="10"/>
      <c r="I46" s="10"/>
      <c r="J46" s="10"/>
    </row>
    <row r="47" spans="1:10" x14ac:dyDescent="0.25">
      <c r="A47" t="s">
        <v>624</v>
      </c>
      <c r="B47" t="s">
        <v>625</v>
      </c>
      <c r="D47" s="10">
        <v>4841</v>
      </c>
      <c r="E47" s="10">
        <v>5352.32</v>
      </c>
      <c r="F47" s="10">
        <v>4841</v>
      </c>
      <c r="G47" s="10">
        <v>5527.71</v>
      </c>
      <c r="H47" s="10">
        <v>4841</v>
      </c>
      <c r="I47" s="10">
        <v>4002.89</v>
      </c>
      <c r="J47" s="10">
        <v>4841</v>
      </c>
    </row>
    <row r="48" spans="1:10" x14ac:dyDescent="0.25">
      <c r="A48" t="s">
        <v>626</v>
      </c>
      <c r="B48" t="s">
        <v>92</v>
      </c>
      <c r="D48" s="10">
        <v>12000</v>
      </c>
      <c r="E48" s="10">
        <v>6744.27</v>
      </c>
      <c r="F48" s="10">
        <v>12000</v>
      </c>
      <c r="G48" s="10">
        <v>10482.219999999999</v>
      </c>
      <c r="H48" s="10">
        <v>12000</v>
      </c>
      <c r="I48" s="10">
        <v>7731.09</v>
      </c>
      <c r="J48" s="10">
        <v>12000</v>
      </c>
    </row>
    <row r="49" spans="1:11" x14ac:dyDescent="0.25">
      <c r="A49" t="s">
        <v>627</v>
      </c>
      <c r="B49" t="s">
        <v>91</v>
      </c>
      <c r="D49" s="10">
        <v>500</v>
      </c>
      <c r="E49" s="10">
        <v>233.65</v>
      </c>
      <c r="F49" s="10">
        <v>500</v>
      </c>
      <c r="G49" s="10">
        <v>528.65</v>
      </c>
      <c r="H49" s="10">
        <v>500</v>
      </c>
      <c r="I49" s="10">
        <v>858.02</v>
      </c>
      <c r="J49" s="10">
        <v>500</v>
      </c>
    </row>
    <row r="50" spans="1:11" x14ac:dyDescent="0.25">
      <c r="A50" t="s">
        <v>628</v>
      </c>
      <c r="B50" t="s">
        <v>537</v>
      </c>
      <c r="D50" s="10">
        <v>1000</v>
      </c>
      <c r="E50" s="10">
        <v>29</v>
      </c>
      <c r="F50" s="10">
        <v>1000</v>
      </c>
      <c r="G50" s="10">
        <v>0</v>
      </c>
      <c r="H50" s="10">
        <v>1000</v>
      </c>
      <c r="I50" s="10">
        <v>0</v>
      </c>
      <c r="J50" s="10">
        <v>1000</v>
      </c>
    </row>
    <row r="51" spans="1:11" x14ac:dyDescent="0.25">
      <c r="D51" s="10"/>
      <c r="E51" s="10"/>
      <c r="F51" s="10"/>
      <c r="G51" s="10"/>
      <c r="H51" s="10"/>
      <c r="I51" s="10"/>
      <c r="J51" s="10"/>
    </row>
    <row r="52" spans="1:11" x14ac:dyDescent="0.25">
      <c r="A52" s="33"/>
      <c r="C52" t="s">
        <v>58</v>
      </c>
      <c r="D52" s="10">
        <f>SUM(D13:D51)</f>
        <v>180033.42249999999</v>
      </c>
      <c r="E52" s="10">
        <f>SUM(E13:E50)</f>
        <v>111073.22000000002</v>
      </c>
      <c r="F52" s="10">
        <f>SUM(F13:F50)</f>
        <v>169584.7329</v>
      </c>
      <c r="G52" s="10">
        <f>SUM(G13:G50)</f>
        <v>130190.71</v>
      </c>
      <c r="H52" s="10">
        <f t="shared" ref="H52:J52" si="1">SUM(H13:H51)</f>
        <v>167279.66130000001</v>
      </c>
      <c r="I52" s="10">
        <f t="shared" si="1"/>
        <v>126717.51</v>
      </c>
      <c r="J52" s="10">
        <f t="shared" si="1"/>
        <v>154088.28733000002</v>
      </c>
    </row>
    <row r="53" spans="1:11" x14ac:dyDescent="0.25">
      <c r="A53" s="40"/>
      <c r="D53" s="10"/>
      <c r="E53" s="10"/>
    </row>
    <row r="54" spans="1:11" x14ac:dyDescent="0.25">
      <c r="A54" s="33"/>
      <c r="B54" t="s">
        <v>645</v>
      </c>
      <c r="D54" s="10"/>
      <c r="E54" s="10"/>
      <c r="F54" s="10">
        <v>84740</v>
      </c>
      <c r="H54" s="10">
        <v>84740</v>
      </c>
      <c r="J54" s="10">
        <v>84740</v>
      </c>
      <c r="K54" s="27"/>
    </row>
    <row r="55" spans="1:11" x14ac:dyDescent="0.25">
      <c r="B55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1"/>
  <sheetViews>
    <sheetView workbookViewId="0">
      <selection activeCell="L93" sqref="L93"/>
    </sheetView>
  </sheetViews>
  <sheetFormatPr defaultRowHeight="13.2" x14ac:dyDescent="0.25"/>
  <cols>
    <col min="1" max="1" width="18.33203125" customWidth="1"/>
    <col min="2" max="2" width="27.5546875" customWidth="1"/>
    <col min="3" max="3" width="6.6640625" customWidth="1"/>
    <col min="4" max="10" width="11.6640625" customWidth="1"/>
    <col min="11" max="12" width="10.6640625" customWidth="1"/>
  </cols>
  <sheetData>
    <row r="1" spans="1:12" ht="15.6" x14ac:dyDescent="0.3">
      <c r="B1" s="14" t="s">
        <v>3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42">
        <v>2017</v>
      </c>
      <c r="J1" s="42">
        <v>2017</v>
      </c>
    </row>
    <row r="2" spans="1:12" x14ac:dyDescent="0.25">
      <c r="A2" t="s">
        <v>40</v>
      </c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 t="s">
        <v>807</v>
      </c>
      <c r="J2" s="42" t="s">
        <v>506</v>
      </c>
    </row>
    <row r="3" spans="1:12" x14ac:dyDescent="0.25">
      <c r="A3" t="s">
        <v>957</v>
      </c>
      <c r="B3" t="s">
        <v>854</v>
      </c>
      <c r="D3" s="10">
        <v>500</v>
      </c>
      <c r="E3" s="10">
        <v>200.6</v>
      </c>
      <c r="F3" s="10">
        <v>500</v>
      </c>
      <c r="G3" s="10">
        <v>571.78</v>
      </c>
      <c r="H3" s="10">
        <v>500</v>
      </c>
      <c r="I3" s="10">
        <v>622.21</v>
      </c>
      <c r="J3" s="113">
        <v>500</v>
      </c>
    </row>
    <row r="4" spans="1:12" x14ac:dyDescent="0.25">
      <c r="A4" s="27" t="s">
        <v>792</v>
      </c>
      <c r="B4" s="27" t="s">
        <v>795</v>
      </c>
      <c r="D4" s="159">
        <v>3000</v>
      </c>
      <c r="E4" s="10">
        <v>2521.67</v>
      </c>
      <c r="F4" s="10">
        <v>2500</v>
      </c>
      <c r="G4" s="10">
        <v>2528.44</v>
      </c>
      <c r="H4" s="10">
        <v>2500</v>
      </c>
      <c r="I4" s="10">
        <v>3093.88</v>
      </c>
      <c r="J4" s="10">
        <v>2500</v>
      </c>
    </row>
    <row r="5" spans="1:12" x14ac:dyDescent="0.25">
      <c r="A5" s="27" t="s">
        <v>793</v>
      </c>
      <c r="B5" s="27" t="s">
        <v>794</v>
      </c>
      <c r="D5" s="159">
        <v>500</v>
      </c>
      <c r="E5" s="10">
        <v>557.9</v>
      </c>
      <c r="F5" s="10">
        <v>400</v>
      </c>
      <c r="G5" s="10">
        <v>386.55</v>
      </c>
      <c r="H5" s="10">
        <v>400</v>
      </c>
      <c r="I5" s="10">
        <v>597.47</v>
      </c>
      <c r="J5" s="10">
        <v>400</v>
      </c>
    </row>
    <row r="6" spans="1:12" x14ac:dyDescent="0.25">
      <c r="A6" s="27" t="s">
        <v>796</v>
      </c>
      <c r="B6" s="27" t="s">
        <v>797</v>
      </c>
      <c r="D6" s="10">
        <v>600</v>
      </c>
      <c r="E6" s="10">
        <v>150</v>
      </c>
      <c r="F6" s="10">
        <v>300</v>
      </c>
      <c r="G6" s="10">
        <v>200</v>
      </c>
      <c r="H6" s="10">
        <v>400</v>
      </c>
      <c r="I6" s="10">
        <v>500</v>
      </c>
      <c r="J6" s="10">
        <v>400</v>
      </c>
    </row>
    <row r="7" spans="1:12" x14ac:dyDescent="0.25">
      <c r="A7" s="27" t="s">
        <v>874</v>
      </c>
      <c r="B7" s="27" t="s">
        <v>875</v>
      </c>
      <c r="D7" s="10">
        <v>300</v>
      </c>
      <c r="E7" s="10">
        <v>-20.77</v>
      </c>
      <c r="F7" s="10">
        <v>300</v>
      </c>
      <c r="G7" s="10">
        <v>280</v>
      </c>
      <c r="H7" s="10">
        <v>200</v>
      </c>
      <c r="I7" s="10">
        <v>-177.04</v>
      </c>
      <c r="J7" s="10">
        <v>200</v>
      </c>
    </row>
    <row r="8" spans="1:12" x14ac:dyDescent="0.25">
      <c r="A8" t="s">
        <v>160</v>
      </c>
      <c r="B8" t="s">
        <v>161</v>
      </c>
      <c r="D8" s="159">
        <v>1000</v>
      </c>
      <c r="E8" s="10">
        <v>391.78</v>
      </c>
      <c r="F8" s="10">
        <v>3000</v>
      </c>
      <c r="G8" s="10">
        <v>571</v>
      </c>
      <c r="H8" s="10">
        <v>3000</v>
      </c>
      <c r="I8" s="10">
        <v>889.31</v>
      </c>
      <c r="J8" s="10">
        <v>3000</v>
      </c>
    </row>
    <row r="9" spans="1:12" x14ac:dyDescent="0.25">
      <c r="A9" t="s">
        <v>162</v>
      </c>
      <c r="B9" t="s">
        <v>163</v>
      </c>
      <c r="D9" s="159">
        <v>35000</v>
      </c>
      <c r="E9" s="10">
        <v>27953.58</v>
      </c>
      <c r="F9" s="10">
        <v>40000</v>
      </c>
      <c r="G9" s="10">
        <v>37431.71</v>
      </c>
      <c r="H9" s="10">
        <v>40000</v>
      </c>
      <c r="I9" s="10">
        <v>41970.69</v>
      </c>
      <c r="J9" s="10">
        <v>40000</v>
      </c>
    </row>
    <row r="10" spans="1:12" x14ac:dyDescent="0.25">
      <c r="A10" t="s">
        <v>164</v>
      </c>
      <c r="B10" t="s">
        <v>165</v>
      </c>
      <c r="D10" s="159">
        <v>80000</v>
      </c>
      <c r="E10" s="10">
        <v>77900.490000000005</v>
      </c>
      <c r="F10" s="10">
        <v>60000</v>
      </c>
      <c r="G10" s="10">
        <v>80796.02</v>
      </c>
      <c r="H10" s="10">
        <v>60000</v>
      </c>
      <c r="I10" s="10">
        <v>60727.37</v>
      </c>
      <c r="J10" s="10">
        <v>60000</v>
      </c>
    </row>
    <row r="11" spans="1:12" x14ac:dyDescent="0.25">
      <c r="A11" t="s">
        <v>166</v>
      </c>
      <c r="B11" t="s">
        <v>167</v>
      </c>
      <c r="D11" s="159">
        <v>75000</v>
      </c>
      <c r="E11" s="10">
        <v>70292.47</v>
      </c>
      <c r="F11" s="10">
        <v>65000</v>
      </c>
      <c r="G11" s="10">
        <v>74866.27</v>
      </c>
      <c r="H11" s="10">
        <v>65000</v>
      </c>
      <c r="I11" s="10">
        <v>77129.91</v>
      </c>
      <c r="J11" s="10">
        <v>65000</v>
      </c>
    </row>
    <row r="12" spans="1:12" x14ac:dyDescent="0.25">
      <c r="A12" t="s">
        <v>168</v>
      </c>
      <c r="B12" t="s">
        <v>169</v>
      </c>
      <c r="D12" s="10">
        <v>220000</v>
      </c>
      <c r="E12" s="10">
        <v>193511.98</v>
      </c>
      <c r="F12" s="10">
        <v>220000</v>
      </c>
      <c r="G12" s="10">
        <v>193538.7</v>
      </c>
      <c r="H12" s="10">
        <v>220000</v>
      </c>
      <c r="I12" s="10">
        <v>205767.35</v>
      </c>
      <c r="J12" s="10">
        <v>220000</v>
      </c>
    </row>
    <row r="13" spans="1:12" x14ac:dyDescent="0.25">
      <c r="A13" t="s">
        <v>170</v>
      </c>
      <c r="B13" t="s">
        <v>171</v>
      </c>
      <c r="D13" s="10">
        <v>10000</v>
      </c>
      <c r="E13" s="10">
        <v>6526.12</v>
      </c>
      <c r="F13" s="10">
        <v>10000</v>
      </c>
      <c r="G13" s="10">
        <v>7280.46</v>
      </c>
      <c r="H13" s="10">
        <v>10000</v>
      </c>
      <c r="I13" s="10">
        <v>8415.19</v>
      </c>
      <c r="J13" s="10">
        <v>10000</v>
      </c>
    </row>
    <row r="14" spans="1:12" x14ac:dyDescent="0.25">
      <c r="A14" t="s">
        <v>172</v>
      </c>
      <c r="B14" t="s">
        <v>173</v>
      </c>
      <c r="D14" s="159">
        <v>25000</v>
      </c>
      <c r="E14" s="10">
        <v>23489.51</v>
      </c>
      <c r="F14" s="10">
        <v>22000</v>
      </c>
      <c r="G14" s="10">
        <v>27512.12</v>
      </c>
      <c r="H14" s="10">
        <v>22000</v>
      </c>
      <c r="I14" s="10">
        <v>26976.2</v>
      </c>
      <c r="J14" s="10">
        <v>22000</v>
      </c>
    </row>
    <row r="15" spans="1:12" x14ac:dyDescent="0.25">
      <c r="B15" s="28"/>
      <c r="D15" s="10"/>
      <c r="E15" s="10"/>
      <c r="F15" s="10"/>
      <c r="G15" s="10"/>
      <c r="H15" s="10"/>
      <c r="I15" s="10"/>
      <c r="J15" s="10"/>
    </row>
    <row r="16" spans="1:12" x14ac:dyDescent="0.25">
      <c r="A16" t="s">
        <v>576</v>
      </c>
      <c r="B16" s="25" t="s">
        <v>58</v>
      </c>
      <c r="D16" s="10">
        <f>SUM(D3:D14)</f>
        <v>450900</v>
      </c>
      <c r="E16" s="10">
        <f>SUM(E3:E14)</f>
        <v>403475.33</v>
      </c>
      <c r="F16" s="10">
        <f>SUM(F3:F14)</f>
        <v>424000</v>
      </c>
      <c r="G16" s="10">
        <f>SUM(G3:G15)</f>
        <v>425963.05000000005</v>
      </c>
      <c r="H16" s="10">
        <f>SUM(H3:H14)</f>
        <v>424000</v>
      </c>
      <c r="I16" s="10">
        <f>SUM(I3:I14)</f>
        <v>426512.54000000004</v>
      </c>
      <c r="J16" s="10">
        <f>SUM(J3:J15)</f>
        <v>424000</v>
      </c>
      <c r="L16" s="22"/>
    </row>
    <row r="17" spans="1:12" x14ac:dyDescent="0.25">
      <c r="A17" t="s">
        <v>192</v>
      </c>
      <c r="D17" s="10"/>
      <c r="E17" s="10"/>
      <c r="F17" s="10"/>
      <c r="I17" s="10"/>
      <c r="L17" s="10"/>
    </row>
    <row r="18" spans="1:12" x14ac:dyDescent="0.25">
      <c r="A18" t="s">
        <v>427</v>
      </c>
      <c r="B18" t="s">
        <v>98</v>
      </c>
      <c r="D18" s="10">
        <v>38022.400000000001</v>
      </c>
      <c r="E18" s="10">
        <v>33734.400000000001</v>
      </c>
      <c r="F18" s="10">
        <f>2080*17.57</f>
        <v>36545.599999999999</v>
      </c>
      <c r="G18" s="10">
        <v>35953.760000000002</v>
      </c>
      <c r="H18" s="10">
        <f>16.88*2080</f>
        <v>35110.400000000001</v>
      </c>
      <c r="I18" s="10">
        <v>34113.199999999997</v>
      </c>
      <c r="J18" s="10">
        <f>32000*1.03</f>
        <v>32960</v>
      </c>
    </row>
    <row r="19" spans="1:12" x14ac:dyDescent="0.25">
      <c r="A19" t="s">
        <v>428</v>
      </c>
      <c r="B19" t="s">
        <v>47</v>
      </c>
      <c r="D19" s="159">
        <v>45000</v>
      </c>
      <c r="E19" s="10">
        <v>41588.33</v>
      </c>
      <c r="F19" s="10">
        <v>40000</v>
      </c>
      <c r="G19" s="10">
        <v>44543.86</v>
      </c>
      <c r="H19" s="10">
        <v>40000</v>
      </c>
      <c r="I19" s="10">
        <v>42876.22</v>
      </c>
      <c r="J19" s="10">
        <v>40000</v>
      </c>
    </row>
    <row r="20" spans="1:12" x14ac:dyDescent="0.25">
      <c r="A20" s="27" t="s">
        <v>710</v>
      </c>
      <c r="B20" s="27" t="s">
        <v>711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2" x14ac:dyDescent="0.25">
      <c r="A21" t="s">
        <v>188</v>
      </c>
      <c r="D21" s="10"/>
      <c r="E21" s="10"/>
      <c r="F21" s="10"/>
      <c r="G21" s="10"/>
      <c r="H21" s="10"/>
      <c r="I21" s="10"/>
      <c r="J21" s="10"/>
    </row>
    <row r="22" spans="1:12" x14ac:dyDescent="0.25">
      <c r="A22" t="s">
        <v>429</v>
      </c>
      <c r="B22" t="s">
        <v>190</v>
      </c>
      <c r="D22" s="159">
        <f>0.075*SUM(D18:D20)</f>
        <v>6226.6799999999994</v>
      </c>
      <c r="E22" s="10">
        <v>4956.46</v>
      </c>
      <c r="F22" s="10">
        <f>0.075*SUM(F18:F20)</f>
        <v>5740.92</v>
      </c>
      <c r="G22" s="10">
        <v>5317.01</v>
      </c>
      <c r="H22" s="10">
        <f>0.075*SUM(H18:H20)</f>
        <v>5633.28</v>
      </c>
      <c r="I22" s="10">
        <v>4848.74</v>
      </c>
      <c r="J22" s="10">
        <f>0.075*SUM(J18:J20)</f>
        <v>5472</v>
      </c>
    </row>
    <row r="23" spans="1:12" x14ac:dyDescent="0.25">
      <c r="A23" t="s">
        <v>430</v>
      </c>
      <c r="B23" t="s">
        <v>82</v>
      </c>
      <c r="D23" s="159">
        <f>0.062*SUM(D18:D20)</f>
        <v>5147.3887999999997</v>
      </c>
      <c r="E23" s="10">
        <v>4670.1000000000004</v>
      </c>
      <c r="F23" s="10">
        <f>0.062*SUM(F18:F20)</f>
        <v>4745.8272000000006</v>
      </c>
      <c r="G23" s="10">
        <v>4972.71</v>
      </c>
      <c r="H23" s="10">
        <f>0.062*SUM(H18:H20)</f>
        <v>4656.8447999999999</v>
      </c>
      <c r="I23" s="10">
        <v>4756.28</v>
      </c>
      <c r="J23" s="10">
        <f>0.062*SUM(J18:J20)</f>
        <v>4523.5199999999995</v>
      </c>
    </row>
    <row r="24" spans="1:12" x14ac:dyDescent="0.25">
      <c r="A24" t="s">
        <v>431</v>
      </c>
      <c r="B24" t="s">
        <v>84</v>
      </c>
      <c r="D24" s="159">
        <f>0.0145*SUM(D18:D20)</f>
        <v>1203.8247999999999</v>
      </c>
      <c r="E24" s="10">
        <v>1092.1500000000001</v>
      </c>
      <c r="F24" s="10">
        <f>0.0145*SUM(F18:F20)</f>
        <v>1109.9112000000002</v>
      </c>
      <c r="G24" s="10">
        <v>1163</v>
      </c>
      <c r="H24" s="10">
        <f>0.0145*SUM(H18:H20)</f>
        <v>1089.1007999999999</v>
      </c>
      <c r="I24" s="10">
        <v>1112.3800000000001</v>
      </c>
      <c r="J24" s="10">
        <f>0.0145*SUM(J18:J20)</f>
        <v>1057.92</v>
      </c>
    </row>
    <row r="25" spans="1:12" x14ac:dyDescent="0.25">
      <c r="A25" t="s">
        <v>183</v>
      </c>
      <c r="D25" s="10"/>
      <c r="E25" s="10"/>
      <c r="F25" s="10"/>
      <c r="G25" s="10"/>
      <c r="H25" s="10"/>
      <c r="I25" s="10"/>
      <c r="J25" s="10"/>
    </row>
    <row r="26" spans="1:12" x14ac:dyDescent="0.25">
      <c r="A26" t="s">
        <v>432</v>
      </c>
      <c r="B26" t="s">
        <v>185</v>
      </c>
      <c r="D26" s="10">
        <v>22800</v>
      </c>
      <c r="E26" s="10">
        <v>0</v>
      </c>
      <c r="F26" s="10">
        <v>11400</v>
      </c>
      <c r="G26" s="10">
        <v>0</v>
      </c>
      <c r="H26" s="10">
        <f>900*12</f>
        <v>10800</v>
      </c>
      <c r="I26" s="10">
        <v>0</v>
      </c>
      <c r="J26" s="116">
        <v>9636</v>
      </c>
    </row>
    <row r="27" spans="1:12" x14ac:dyDescent="0.25">
      <c r="A27" t="s">
        <v>644</v>
      </c>
      <c r="B27" t="s">
        <v>187</v>
      </c>
      <c r="D27" s="10">
        <v>795</v>
      </c>
      <c r="E27" s="10">
        <v>0</v>
      </c>
      <c r="F27" s="10">
        <v>765</v>
      </c>
      <c r="G27" s="10">
        <v>0</v>
      </c>
      <c r="H27" s="10">
        <f>61.22*12</f>
        <v>734.64</v>
      </c>
      <c r="I27" s="10">
        <v>0</v>
      </c>
      <c r="J27" s="116">
        <v>706</v>
      </c>
    </row>
    <row r="28" spans="1:12" x14ac:dyDescent="0.25">
      <c r="A28" t="s">
        <v>643</v>
      </c>
      <c r="B28" t="s">
        <v>553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  <row r="29" spans="1:12" x14ac:dyDescent="0.25">
      <c r="A29" t="s">
        <v>43</v>
      </c>
      <c r="D29" s="10"/>
      <c r="E29" s="10"/>
      <c r="F29" s="10"/>
      <c r="G29" s="10"/>
      <c r="H29" s="10"/>
      <c r="I29" s="10"/>
      <c r="J29" s="10"/>
    </row>
    <row r="30" spans="1:12" x14ac:dyDescent="0.25">
      <c r="A30" t="s">
        <v>433</v>
      </c>
      <c r="B30" t="s">
        <v>182</v>
      </c>
      <c r="D30" s="10">
        <v>5000</v>
      </c>
      <c r="E30" s="10">
        <v>4644</v>
      </c>
      <c r="F30" s="10">
        <v>5000</v>
      </c>
      <c r="G30" s="10">
        <v>4934.82</v>
      </c>
      <c r="H30" s="10">
        <v>4000</v>
      </c>
      <c r="I30" s="10">
        <v>4778.95</v>
      </c>
      <c r="J30" s="10">
        <v>4000</v>
      </c>
    </row>
    <row r="31" spans="1:12" x14ac:dyDescent="0.25">
      <c r="A31" t="s">
        <v>33</v>
      </c>
      <c r="D31" s="10"/>
      <c r="E31" s="10"/>
      <c r="F31" s="10"/>
      <c r="G31" s="10"/>
      <c r="H31" s="10"/>
      <c r="I31" s="10"/>
      <c r="J31" s="10"/>
    </row>
    <row r="32" spans="1:12" x14ac:dyDescent="0.25">
      <c r="A32" t="s">
        <v>434</v>
      </c>
      <c r="B32" t="s">
        <v>34</v>
      </c>
      <c r="D32" s="10">
        <v>0</v>
      </c>
      <c r="E32" s="10">
        <v>7.43</v>
      </c>
      <c r="F32" s="10">
        <v>0</v>
      </c>
      <c r="G32" s="10">
        <v>0</v>
      </c>
      <c r="H32" s="10">
        <v>0</v>
      </c>
      <c r="I32" s="10">
        <v>0</v>
      </c>
      <c r="J32" s="10">
        <v>200</v>
      </c>
    </row>
    <row r="33" spans="1:11" x14ac:dyDescent="0.25">
      <c r="A33" t="s">
        <v>435</v>
      </c>
      <c r="B33" t="s">
        <v>35</v>
      </c>
      <c r="D33" s="10">
        <v>0</v>
      </c>
      <c r="E33" s="10">
        <v>0</v>
      </c>
      <c r="F33" s="10">
        <v>0</v>
      </c>
      <c r="G33" s="10">
        <v>64.069999999999993</v>
      </c>
      <c r="H33" s="10">
        <v>0</v>
      </c>
      <c r="I33" s="10">
        <v>0</v>
      </c>
      <c r="J33" s="10">
        <v>200</v>
      </c>
    </row>
    <row r="34" spans="1:11" x14ac:dyDescent="0.25">
      <c r="A34" t="s">
        <v>436</v>
      </c>
      <c r="B34" t="s">
        <v>42</v>
      </c>
      <c r="D34" s="10">
        <v>800</v>
      </c>
      <c r="E34" s="10">
        <v>273.76</v>
      </c>
      <c r="F34" s="10">
        <v>800</v>
      </c>
      <c r="G34" s="10">
        <v>318.37</v>
      </c>
      <c r="H34" s="10">
        <v>800</v>
      </c>
      <c r="I34" s="10">
        <v>576.54</v>
      </c>
      <c r="J34" s="10">
        <v>500</v>
      </c>
    </row>
    <row r="35" spans="1:11" x14ac:dyDescent="0.25">
      <c r="A35" t="s">
        <v>149</v>
      </c>
      <c r="D35" s="10"/>
      <c r="E35" s="10"/>
      <c r="F35" s="10"/>
      <c r="G35" s="10"/>
      <c r="H35" s="10"/>
      <c r="I35" s="10"/>
      <c r="J35" s="10"/>
    </row>
    <row r="36" spans="1:11" x14ac:dyDescent="0.25">
      <c r="A36" t="s">
        <v>437</v>
      </c>
      <c r="B36" t="s">
        <v>151</v>
      </c>
      <c r="D36" s="159">
        <v>3000</v>
      </c>
      <c r="E36" s="10">
        <v>2598.69</v>
      </c>
      <c r="F36" s="10">
        <v>2000</v>
      </c>
      <c r="G36" s="10">
        <v>2009.14</v>
      </c>
      <c r="H36" s="10">
        <v>700</v>
      </c>
      <c r="I36" s="10">
        <v>1115.49</v>
      </c>
      <c r="J36" s="10">
        <v>700</v>
      </c>
    </row>
    <row r="37" spans="1:11" x14ac:dyDescent="0.25">
      <c r="A37" t="s">
        <v>438</v>
      </c>
      <c r="B37" t="s">
        <v>30</v>
      </c>
      <c r="D37" s="10">
        <v>800</v>
      </c>
      <c r="E37" s="10">
        <v>305.64</v>
      </c>
      <c r="F37" s="10">
        <v>800</v>
      </c>
      <c r="G37" s="10">
        <v>771.22</v>
      </c>
      <c r="H37" s="10">
        <v>800</v>
      </c>
      <c r="I37" s="10">
        <v>1142.03</v>
      </c>
      <c r="J37" s="10">
        <v>800</v>
      </c>
    </row>
    <row r="38" spans="1:11" x14ac:dyDescent="0.25">
      <c r="A38" t="s">
        <v>439</v>
      </c>
      <c r="B38" t="s">
        <v>31</v>
      </c>
      <c r="D38" s="10">
        <v>0</v>
      </c>
      <c r="E38" s="10">
        <v>83.12</v>
      </c>
      <c r="F38" s="10">
        <v>0</v>
      </c>
      <c r="G38" s="10">
        <v>118.76</v>
      </c>
      <c r="H38" s="10">
        <v>0</v>
      </c>
      <c r="I38" s="10">
        <v>29.85</v>
      </c>
      <c r="J38" s="10">
        <v>0</v>
      </c>
    </row>
    <row r="39" spans="1:11" x14ac:dyDescent="0.25">
      <c r="A39" t="s">
        <v>440</v>
      </c>
      <c r="B39" t="s">
        <v>32</v>
      </c>
      <c r="D39" s="159">
        <v>4000</v>
      </c>
      <c r="E39" s="10">
        <v>4749.67</v>
      </c>
      <c r="F39" s="10">
        <v>3000</v>
      </c>
      <c r="G39" s="10">
        <v>4068.75</v>
      </c>
      <c r="H39" s="10">
        <v>2000</v>
      </c>
      <c r="I39" s="10">
        <v>3622.45</v>
      </c>
      <c r="J39" s="10">
        <v>2000</v>
      </c>
    </row>
    <row r="40" spans="1:11" x14ac:dyDescent="0.25">
      <c r="A40" t="s">
        <v>23</v>
      </c>
      <c r="D40" s="10"/>
      <c r="E40" s="10"/>
      <c r="F40" s="10"/>
      <c r="G40" s="10"/>
      <c r="H40" s="10"/>
      <c r="I40" s="10"/>
      <c r="J40" s="10"/>
    </row>
    <row r="41" spans="1:11" x14ac:dyDescent="0.25">
      <c r="A41" t="s">
        <v>441</v>
      </c>
      <c r="B41" t="s">
        <v>141</v>
      </c>
      <c r="D41" s="10">
        <v>300</v>
      </c>
      <c r="E41" s="10">
        <v>1163.6199999999999</v>
      </c>
      <c r="F41" s="10">
        <v>300</v>
      </c>
      <c r="G41" s="10">
        <v>125.92</v>
      </c>
      <c r="H41" s="10">
        <v>300</v>
      </c>
      <c r="I41" s="10">
        <v>407.58</v>
      </c>
      <c r="J41" s="10">
        <v>200</v>
      </c>
    </row>
    <row r="42" spans="1:11" x14ac:dyDescent="0.25">
      <c r="A42" t="s">
        <v>442</v>
      </c>
      <c r="B42" t="s">
        <v>143</v>
      </c>
      <c r="D42" s="10">
        <v>0</v>
      </c>
      <c r="E42" s="10">
        <v>8.99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</row>
    <row r="43" spans="1:11" x14ac:dyDescent="0.25">
      <c r="A43" t="s">
        <v>443</v>
      </c>
      <c r="B43" t="s">
        <v>146</v>
      </c>
      <c r="D43" s="10">
        <v>200</v>
      </c>
      <c r="E43" s="10">
        <v>0</v>
      </c>
      <c r="F43" s="10">
        <v>500</v>
      </c>
      <c r="G43" s="10">
        <v>0</v>
      </c>
      <c r="H43" s="10">
        <v>500</v>
      </c>
      <c r="I43" s="10">
        <v>212.2</v>
      </c>
      <c r="J43" s="10">
        <v>1000</v>
      </c>
      <c r="K43" s="27"/>
    </row>
    <row r="44" spans="1:11" x14ac:dyDescent="0.25">
      <c r="A44" t="s">
        <v>444</v>
      </c>
      <c r="B44" t="s">
        <v>148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4.5</v>
      </c>
      <c r="J44" s="10">
        <v>0</v>
      </c>
    </row>
    <row r="45" spans="1:11" x14ac:dyDescent="0.25">
      <c r="A45" t="s">
        <v>17</v>
      </c>
      <c r="D45" s="10"/>
      <c r="E45" s="10"/>
      <c r="F45" s="10"/>
      <c r="G45" s="10"/>
      <c r="H45" s="10"/>
      <c r="I45" s="10"/>
      <c r="J45" s="10"/>
    </row>
    <row r="46" spans="1:11" x14ac:dyDescent="0.25">
      <c r="A46" t="s">
        <v>445</v>
      </c>
      <c r="B46" t="s">
        <v>18</v>
      </c>
      <c r="D46" s="159">
        <v>65000</v>
      </c>
      <c r="E46" s="10">
        <v>64889.57</v>
      </c>
      <c r="F46" s="10">
        <v>50000</v>
      </c>
      <c r="G46" s="10">
        <v>67035.490000000005</v>
      </c>
      <c r="H46" s="10">
        <v>50000</v>
      </c>
      <c r="I46" s="10">
        <v>55691.82</v>
      </c>
      <c r="J46" s="10">
        <v>42000</v>
      </c>
    </row>
    <row r="47" spans="1:11" x14ac:dyDescent="0.25">
      <c r="A47" t="s">
        <v>446</v>
      </c>
      <c r="B47" t="s">
        <v>19</v>
      </c>
      <c r="D47" s="10">
        <v>175000</v>
      </c>
      <c r="E47" s="10">
        <v>175005.11</v>
      </c>
      <c r="F47" s="10">
        <v>175000</v>
      </c>
      <c r="G47" s="10">
        <v>177971.96</v>
      </c>
      <c r="H47" s="10">
        <v>175000</v>
      </c>
      <c r="I47" s="10">
        <v>178111.01</v>
      </c>
      <c r="J47" s="10">
        <v>170000</v>
      </c>
    </row>
    <row r="48" spans="1:11" x14ac:dyDescent="0.25">
      <c r="A48" t="s">
        <v>447</v>
      </c>
      <c r="B48" t="s">
        <v>20</v>
      </c>
      <c r="D48" s="159">
        <v>20000</v>
      </c>
      <c r="E48" s="10">
        <v>18689.23</v>
      </c>
      <c r="F48" s="10">
        <v>21000</v>
      </c>
      <c r="G48" s="10">
        <v>22830.11</v>
      </c>
      <c r="H48" s="10">
        <v>15000</v>
      </c>
      <c r="I48" s="10">
        <v>20798.18</v>
      </c>
      <c r="J48" s="10">
        <v>15000</v>
      </c>
    </row>
    <row r="49" spans="1:10" x14ac:dyDescent="0.25">
      <c r="A49" t="s">
        <v>448</v>
      </c>
      <c r="B49" t="s">
        <v>21</v>
      </c>
      <c r="D49" s="159">
        <v>3500</v>
      </c>
      <c r="E49" s="10">
        <v>2064.7199999999998</v>
      </c>
      <c r="F49" s="10">
        <v>5000</v>
      </c>
      <c r="G49" s="10">
        <v>3334.7</v>
      </c>
      <c r="H49" s="10">
        <v>5000</v>
      </c>
      <c r="I49" s="10">
        <v>3779.74</v>
      </c>
      <c r="J49" s="10">
        <v>7000</v>
      </c>
    </row>
    <row r="50" spans="1:10" x14ac:dyDescent="0.25">
      <c r="A50" t="s">
        <v>449</v>
      </c>
      <c r="B50" t="s">
        <v>22</v>
      </c>
      <c r="D50" s="10">
        <v>1000</v>
      </c>
      <c r="E50" s="10">
        <v>441</v>
      </c>
      <c r="F50" s="10">
        <v>2000</v>
      </c>
      <c r="G50" s="10">
        <v>799.28</v>
      </c>
      <c r="H50" s="10">
        <v>2000</v>
      </c>
      <c r="I50" s="10">
        <v>1323.03</v>
      </c>
      <c r="J50" s="10">
        <v>4000</v>
      </c>
    </row>
    <row r="51" spans="1:10" x14ac:dyDescent="0.25">
      <c r="A51" s="27" t="s">
        <v>712</v>
      </c>
      <c r="B51" s="27" t="s">
        <v>713</v>
      </c>
      <c r="D51" s="159">
        <v>5000</v>
      </c>
      <c r="E51" s="10">
        <v>5111.13</v>
      </c>
      <c r="F51" s="10">
        <v>3000</v>
      </c>
      <c r="G51" s="10">
        <v>5425.73</v>
      </c>
      <c r="H51" s="10">
        <v>3000</v>
      </c>
      <c r="I51" s="10">
        <v>5214.67</v>
      </c>
      <c r="J51" s="10">
        <v>1000</v>
      </c>
    </row>
    <row r="52" spans="1:10" x14ac:dyDescent="0.25">
      <c r="A52" t="s">
        <v>6</v>
      </c>
      <c r="D52" s="10"/>
      <c r="E52" s="10"/>
      <c r="F52" s="10"/>
      <c r="G52" s="10"/>
      <c r="H52" s="10"/>
      <c r="I52" s="10"/>
      <c r="J52" s="10"/>
    </row>
    <row r="53" spans="1:10" x14ac:dyDescent="0.25">
      <c r="A53" t="s">
        <v>450</v>
      </c>
      <c r="B53" t="s">
        <v>8</v>
      </c>
      <c r="D53" s="10">
        <v>3000</v>
      </c>
      <c r="E53" s="10">
        <v>3000</v>
      </c>
      <c r="F53" s="10">
        <v>3000</v>
      </c>
      <c r="G53" s="10">
        <v>2590</v>
      </c>
      <c r="H53" s="10">
        <v>3000</v>
      </c>
      <c r="I53" s="10">
        <v>3000</v>
      </c>
      <c r="J53" s="10">
        <v>3000</v>
      </c>
    </row>
    <row r="54" spans="1:10" x14ac:dyDescent="0.25">
      <c r="A54" s="27" t="s">
        <v>708</v>
      </c>
      <c r="B54" s="27" t="s">
        <v>709</v>
      </c>
      <c r="D54" s="10">
        <v>2000</v>
      </c>
      <c r="E54" s="10">
        <v>1095.46</v>
      </c>
      <c r="F54" s="10">
        <v>2000</v>
      </c>
      <c r="G54" s="10">
        <v>1176</v>
      </c>
      <c r="H54" s="10">
        <v>2000</v>
      </c>
      <c r="I54" s="10">
        <v>1291</v>
      </c>
      <c r="J54" s="10">
        <v>2000</v>
      </c>
    </row>
    <row r="55" spans="1:10" x14ac:dyDescent="0.25">
      <c r="A55" t="s">
        <v>647</v>
      </c>
      <c r="B55" s="27" t="s">
        <v>741</v>
      </c>
      <c r="D55" s="10">
        <v>0</v>
      </c>
      <c r="E55" s="10">
        <v>45.63</v>
      </c>
      <c r="F55" s="10">
        <v>0</v>
      </c>
      <c r="G55" s="10">
        <v>1159.3699999999999</v>
      </c>
      <c r="H55" s="10">
        <v>0</v>
      </c>
      <c r="I55" s="10">
        <v>210.95</v>
      </c>
      <c r="J55" s="10">
        <v>0</v>
      </c>
    </row>
    <row r="56" spans="1:10" x14ac:dyDescent="0.25">
      <c r="A56" t="s">
        <v>498</v>
      </c>
      <c r="D56" s="10"/>
      <c r="E56" s="10"/>
      <c r="F56" s="10"/>
      <c r="G56" s="10"/>
      <c r="H56" s="10"/>
      <c r="I56" s="10"/>
      <c r="J56" s="10"/>
    </row>
    <row r="57" spans="1:10" x14ac:dyDescent="0.25">
      <c r="A57" t="s">
        <v>451</v>
      </c>
      <c r="B57" t="s">
        <v>89</v>
      </c>
      <c r="D57" s="159">
        <v>1600</v>
      </c>
      <c r="E57" s="10">
        <v>1585.43</v>
      </c>
      <c r="F57" s="10">
        <v>1500</v>
      </c>
      <c r="G57" s="10">
        <v>1696.46</v>
      </c>
      <c r="H57" s="10">
        <v>1500</v>
      </c>
      <c r="I57" s="10">
        <v>1587.14</v>
      </c>
      <c r="J57" s="10">
        <v>1500</v>
      </c>
    </row>
    <row r="58" spans="1:10" x14ac:dyDescent="0.25">
      <c r="A58" t="s">
        <v>138</v>
      </c>
      <c r="D58" s="10"/>
      <c r="E58" s="10"/>
      <c r="F58" s="10"/>
      <c r="G58" s="10"/>
      <c r="H58" s="10"/>
      <c r="I58" s="10"/>
      <c r="J58" s="10"/>
    </row>
    <row r="59" spans="1:10" x14ac:dyDescent="0.25">
      <c r="A59" t="s">
        <v>571</v>
      </c>
      <c r="B59" t="s">
        <v>139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18.850000000000001</v>
      </c>
      <c r="J59" s="10">
        <v>0</v>
      </c>
    </row>
    <row r="60" spans="1:10" x14ac:dyDescent="0.25">
      <c r="A60" t="s">
        <v>452</v>
      </c>
      <c r="B60" t="s">
        <v>48</v>
      </c>
      <c r="D60" s="10">
        <v>2000</v>
      </c>
      <c r="E60" s="10">
        <v>1877.61</v>
      </c>
      <c r="F60" s="10">
        <v>1600</v>
      </c>
      <c r="G60" s="10">
        <v>2034.77</v>
      </c>
      <c r="H60" s="10">
        <v>1600</v>
      </c>
      <c r="I60" s="10">
        <v>1943.27</v>
      </c>
      <c r="J60" s="10">
        <v>1600</v>
      </c>
    </row>
    <row r="61" spans="1:10" x14ac:dyDescent="0.25">
      <c r="A61" t="s">
        <v>136</v>
      </c>
      <c r="D61" s="10"/>
      <c r="E61" s="10"/>
      <c r="F61" s="10"/>
      <c r="G61" s="10"/>
      <c r="H61" s="10"/>
      <c r="I61" s="10"/>
      <c r="J61" s="10"/>
    </row>
    <row r="62" spans="1:10" x14ac:dyDescent="0.25">
      <c r="A62" t="s">
        <v>453</v>
      </c>
      <c r="B62" t="s">
        <v>137</v>
      </c>
      <c r="D62" s="159">
        <v>100</v>
      </c>
      <c r="E62" s="10">
        <v>0</v>
      </c>
      <c r="F62" s="10">
        <v>200</v>
      </c>
      <c r="G62" s="10">
        <v>0</v>
      </c>
      <c r="H62" s="10">
        <v>200</v>
      </c>
      <c r="I62" s="10">
        <v>291.19</v>
      </c>
      <c r="J62" s="10">
        <v>200</v>
      </c>
    </row>
    <row r="63" spans="1:10" x14ac:dyDescent="0.25">
      <c r="A63" t="s">
        <v>128</v>
      </c>
      <c r="D63" s="10"/>
      <c r="E63" s="10"/>
      <c r="F63" s="10"/>
      <c r="G63" s="10"/>
      <c r="H63" s="10"/>
      <c r="I63" s="10"/>
      <c r="J63" s="10"/>
    </row>
    <row r="64" spans="1:10" x14ac:dyDescent="0.25">
      <c r="A64" t="s">
        <v>454</v>
      </c>
      <c r="B64" t="s">
        <v>86</v>
      </c>
      <c r="D64" s="10">
        <v>800</v>
      </c>
      <c r="E64" s="10">
        <v>774.37</v>
      </c>
      <c r="F64" s="10">
        <v>800</v>
      </c>
      <c r="G64" s="10">
        <v>769.37</v>
      </c>
      <c r="H64" s="10">
        <v>600</v>
      </c>
      <c r="I64" s="10">
        <v>726.75</v>
      </c>
      <c r="J64" s="10">
        <v>600</v>
      </c>
    </row>
    <row r="65" spans="1:12" x14ac:dyDescent="0.25">
      <c r="A65" t="s">
        <v>455</v>
      </c>
      <c r="B65" t="s">
        <v>130</v>
      </c>
      <c r="D65" s="159">
        <v>2100</v>
      </c>
      <c r="E65" s="10">
        <v>2154</v>
      </c>
      <c r="F65" s="10">
        <v>2000</v>
      </c>
      <c r="G65" s="10">
        <v>2001</v>
      </c>
      <c r="H65" s="10">
        <v>1650</v>
      </c>
      <c r="I65" s="10">
        <v>1920</v>
      </c>
      <c r="J65" s="10">
        <v>1800</v>
      </c>
    </row>
    <row r="66" spans="1:12" x14ac:dyDescent="0.25">
      <c r="A66" t="s">
        <v>456</v>
      </c>
      <c r="B66" t="s">
        <v>132</v>
      </c>
      <c r="D66" s="10">
        <v>3600</v>
      </c>
      <c r="E66" s="10">
        <v>0.34</v>
      </c>
      <c r="F66" s="10">
        <v>3600</v>
      </c>
      <c r="G66" s="10">
        <v>0</v>
      </c>
      <c r="H66" s="10">
        <v>3500</v>
      </c>
      <c r="I66" s="10">
        <v>3667.19</v>
      </c>
      <c r="J66" s="10">
        <v>3500</v>
      </c>
    </row>
    <row r="67" spans="1:12" x14ac:dyDescent="0.25">
      <c r="A67" t="s">
        <v>121</v>
      </c>
      <c r="D67" s="10"/>
      <c r="E67" s="10"/>
      <c r="F67" s="10"/>
      <c r="G67" s="10"/>
      <c r="H67" s="10"/>
      <c r="I67" s="10"/>
      <c r="J67" s="10"/>
    </row>
    <row r="68" spans="1:12" x14ac:dyDescent="0.25">
      <c r="A68" t="s">
        <v>457</v>
      </c>
      <c r="B68" t="s">
        <v>122</v>
      </c>
      <c r="D68" s="10">
        <v>9500</v>
      </c>
      <c r="E68" s="10">
        <v>8716.57</v>
      </c>
      <c r="F68" s="10">
        <v>9500</v>
      </c>
      <c r="G68" s="10">
        <v>9380.14</v>
      </c>
      <c r="H68" s="10">
        <v>9500</v>
      </c>
      <c r="I68" s="10">
        <v>8920.4599999999991</v>
      </c>
      <c r="J68" s="10">
        <v>10000</v>
      </c>
    </row>
    <row r="69" spans="1:12" x14ac:dyDescent="0.25">
      <c r="A69" t="s">
        <v>458</v>
      </c>
      <c r="B69" t="s">
        <v>123</v>
      </c>
      <c r="D69" s="10">
        <v>300</v>
      </c>
      <c r="E69" s="10">
        <v>244.03</v>
      </c>
      <c r="F69" s="10">
        <v>300</v>
      </c>
      <c r="G69" s="10">
        <v>315.73</v>
      </c>
      <c r="H69" s="10">
        <v>300</v>
      </c>
      <c r="I69" s="10">
        <v>287.72000000000003</v>
      </c>
      <c r="J69" s="10">
        <v>300</v>
      </c>
    </row>
    <row r="70" spans="1:12" x14ac:dyDescent="0.25">
      <c r="A70" t="s">
        <v>459</v>
      </c>
      <c r="B70" t="s">
        <v>124</v>
      </c>
      <c r="D70" s="10">
        <v>600</v>
      </c>
      <c r="E70" s="10">
        <v>619.85</v>
      </c>
      <c r="F70" s="10">
        <v>600</v>
      </c>
      <c r="G70" s="10">
        <v>785.68</v>
      </c>
      <c r="H70" s="10">
        <v>600</v>
      </c>
      <c r="I70" s="10">
        <v>506.82</v>
      </c>
      <c r="J70" s="10">
        <v>1600</v>
      </c>
    </row>
    <row r="71" spans="1:12" x14ac:dyDescent="0.25">
      <c r="A71" t="s">
        <v>460</v>
      </c>
      <c r="B71" t="s">
        <v>125</v>
      </c>
      <c r="D71" s="10">
        <v>1000</v>
      </c>
      <c r="E71" s="10">
        <v>838.86</v>
      </c>
      <c r="F71" s="10">
        <v>1000</v>
      </c>
      <c r="G71" s="10">
        <v>915.12</v>
      </c>
      <c r="H71" s="10">
        <v>1000</v>
      </c>
      <c r="I71" s="10">
        <v>991.38</v>
      </c>
      <c r="J71" s="10">
        <v>1000</v>
      </c>
    </row>
    <row r="72" spans="1:12" x14ac:dyDescent="0.25">
      <c r="A72" t="s">
        <v>461</v>
      </c>
      <c r="B72" t="s">
        <v>126</v>
      </c>
      <c r="D72" s="10">
        <v>300</v>
      </c>
      <c r="E72" s="10">
        <v>226.79</v>
      </c>
      <c r="F72" s="10">
        <v>300</v>
      </c>
      <c r="G72" s="10">
        <v>360.5</v>
      </c>
      <c r="H72" s="10">
        <v>300</v>
      </c>
      <c r="I72" s="10">
        <v>332.18</v>
      </c>
      <c r="J72" s="10">
        <v>300</v>
      </c>
    </row>
    <row r="73" spans="1:12" x14ac:dyDescent="0.25">
      <c r="A73" s="27" t="s">
        <v>706</v>
      </c>
      <c r="D73" s="10"/>
      <c r="E73" s="10"/>
      <c r="F73" s="10"/>
      <c r="G73" s="10"/>
      <c r="H73" s="10"/>
      <c r="I73" s="10"/>
      <c r="J73" s="10"/>
    </row>
    <row r="74" spans="1:12" x14ac:dyDescent="0.25">
      <c r="A74" s="27" t="s">
        <v>704</v>
      </c>
      <c r="B74" s="27" t="s">
        <v>705</v>
      </c>
      <c r="D74" s="10">
        <v>500</v>
      </c>
      <c r="E74" s="10">
        <v>433</v>
      </c>
      <c r="F74" s="10">
        <v>500</v>
      </c>
      <c r="G74" s="10">
        <v>480</v>
      </c>
      <c r="H74" s="10">
        <v>500</v>
      </c>
      <c r="I74" s="10">
        <v>359.5</v>
      </c>
      <c r="J74" s="10">
        <v>500</v>
      </c>
    </row>
    <row r="75" spans="1:12" x14ac:dyDescent="0.25">
      <c r="A75" s="27" t="s">
        <v>695</v>
      </c>
      <c r="B75" s="27"/>
      <c r="D75" s="10"/>
      <c r="E75" s="10"/>
      <c r="F75" s="10"/>
      <c r="G75" s="10"/>
      <c r="H75" s="10"/>
      <c r="I75" s="10"/>
      <c r="J75" s="10"/>
    </row>
    <row r="76" spans="1:12" x14ac:dyDescent="0.25">
      <c r="A76" s="27" t="s">
        <v>1107</v>
      </c>
      <c r="B76" s="27" t="s">
        <v>1108</v>
      </c>
      <c r="D76" s="10">
        <v>0</v>
      </c>
      <c r="E76" s="10">
        <v>0</v>
      </c>
      <c r="F76" s="10">
        <v>0</v>
      </c>
      <c r="G76" s="10">
        <v>8000</v>
      </c>
      <c r="H76" s="10">
        <v>0</v>
      </c>
      <c r="I76" s="10">
        <v>31000</v>
      </c>
      <c r="J76" s="10">
        <v>0</v>
      </c>
    </row>
    <row r="77" spans="1:12" x14ac:dyDescent="0.25">
      <c r="A77" t="s">
        <v>495</v>
      </c>
      <c r="D77" s="10"/>
      <c r="E77" s="10"/>
      <c r="F77" s="10"/>
      <c r="G77" s="10"/>
      <c r="H77" s="10"/>
      <c r="I77" s="10"/>
      <c r="J77" s="10"/>
    </row>
    <row r="78" spans="1:12" x14ac:dyDescent="0.25">
      <c r="A78" t="s">
        <v>499</v>
      </c>
      <c r="B78" t="s">
        <v>500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</row>
    <row r="79" spans="1:12" x14ac:dyDescent="0.25">
      <c r="A79" t="s">
        <v>501</v>
      </c>
      <c r="B79" t="s">
        <v>502</v>
      </c>
      <c r="D79" s="10">
        <v>15000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/>
      <c r="L79" s="13"/>
    </row>
    <row r="80" spans="1:12" x14ac:dyDescent="0.25">
      <c r="A80" s="27" t="s">
        <v>798</v>
      </c>
      <c r="B80" s="27" t="s">
        <v>632</v>
      </c>
      <c r="D80" s="10">
        <v>0</v>
      </c>
      <c r="E80" s="10">
        <v>2615</v>
      </c>
      <c r="F80" s="10">
        <v>3500</v>
      </c>
      <c r="G80" s="10">
        <v>0</v>
      </c>
      <c r="H80" s="10">
        <v>3500</v>
      </c>
      <c r="I80" s="10">
        <v>1200</v>
      </c>
      <c r="J80" s="10">
        <v>450</v>
      </c>
      <c r="K80" s="10"/>
      <c r="L80" s="13"/>
    </row>
    <row r="81" spans="1:12" x14ac:dyDescent="0.25">
      <c r="A81" s="27" t="s">
        <v>876</v>
      </c>
      <c r="B81" s="27" t="s">
        <v>877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/>
      <c r="L81" s="13"/>
    </row>
    <row r="82" spans="1:12" x14ac:dyDescent="0.25">
      <c r="A82" t="s">
        <v>116</v>
      </c>
      <c r="D82" s="10"/>
      <c r="E82" s="10"/>
      <c r="F82" s="10"/>
      <c r="G82" s="10"/>
      <c r="H82" s="10"/>
      <c r="I82" s="10"/>
      <c r="J82" s="10"/>
    </row>
    <row r="83" spans="1:12" x14ac:dyDescent="0.25">
      <c r="A83" t="s">
        <v>462</v>
      </c>
      <c r="B83" t="s">
        <v>117</v>
      </c>
      <c r="D83" s="10">
        <v>0</v>
      </c>
      <c r="E83" s="10">
        <v>0</v>
      </c>
      <c r="F83" s="10">
        <v>1000</v>
      </c>
      <c r="G83" s="10">
        <v>0</v>
      </c>
      <c r="H83" s="10">
        <v>1000</v>
      </c>
      <c r="I83" s="10">
        <v>2002.49</v>
      </c>
      <c r="J83" s="10">
        <v>2000</v>
      </c>
    </row>
    <row r="84" spans="1:12" x14ac:dyDescent="0.25">
      <c r="A84" s="27" t="s">
        <v>703</v>
      </c>
      <c r="B84" s="27" t="s">
        <v>502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</row>
    <row r="85" spans="1:12" x14ac:dyDescent="0.25">
      <c r="A85" s="27" t="s">
        <v>707</v>
      </c>
      <c r="B85" s="27" t="s">
        <v>114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</row>
    <row r="86" spans="1:12" x14ac:dyDescent="0.25">
      <c r="A86" t="s">
        <v>463</v>
      </c>
      <c r="B86" t="s">
        <v>93</v>
      </c>
      <c r="D86" s="159">
        <v>5705</v>
      </c>
      <c r="E86" s="10">
        <v>5074.34</v>
      </c>
      <c r="F86" s="10">
        <v>4000</v>
      </c>
      <c r="G86" s="10">
        <v>6008.05</v>
      </c>
      <c r="H86" s="10">
        <v>4000</v>
      </c>
      <c r="I86" s="10">
        <v>5361.38</v>
      </c>
      <c r="J86" s="10">
        <v>4000</v>
      </c>
    </row>
    <row r="87" spans="1:12" x14ac:dyDescent="0.25">
      <c r="A87" t="s">
        <v>464</v>
      </c>
      <c r="B87" t="s">
        <v>91</v>
      </c>
      <c r="D87" s="10">
        <v>0</v>
      </c>
      <c r="E87" s="10">
        <v>580.01</v>
      </c>
      <c r="F87" s="10">
        <v>0</v>
      </c>
      <c r="G87" s="10">
        <v>20</v>
      </c>
      <c r="H87" s="10">
        <v>0</v>
      </c>
      <c r="I87" s="10">
        <v>14</v>
      </c>
      <c r="J87" s="10">
        <v>0</v>
      </c>
    </row>
    <row r="88" spans="1:12" x14ac:dyDescent="0.25">
      <c r="A88" t="s">
        <v>465</v>
      </c>
      <c r="B88" t="s">
        <v>108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</row>
    <row r="89" spans="1:12" x14ac:dyDescent="0.25">
      <c r="D89" s="10"/>
      <c r="E89" s="10"/>
      <c r="F89" s="10"/>
      <c r="G89" s="10"/>
      <c r="H89" s="10"/>
      <c r="I89" s="10"/>
      <c r="J89" s="10"/>
      <c r="K89" s="27"/>
    </row>
    <row r="90" spans="1:12" x14ac:dyDescent="0.25">
      <c r="B90" s="25" t="s">
        <v>58</v>
      </c>
      <c r="D90" s="10">
        <f t="shared" ref="D90:I90" si="0">SUM(D18:D88)</f>
        <v>450900.29359999998</v>
      </c>
      <c r="E90" s="10">
        <f t="shared" si="0"/>
        <v>395958.41</v>
      </c>
      <c r="F90" s="10">
        <f t="shared" si="0"/>
        <v>404107.25839999999</v>
      </c>
      <c r="G90" s="10">
        <f t="shared" si="0"/>
        <v>419450.85</v>
      </c>
      <c r="H90" s="10">
        <f t="shared" si="0"/>
        <v>391874.26559999998</v>
      </c>
      <c r="I90" s="10">
        <f t="shared" si="0"/>
        <v>430147.13</v>
      </c>
      <c r="J90" s="10">
        <f>SUM(J18:J89)</f>
        <v>377305.44</v>
      </c>
    </row>
    <row r="91" spans="1:12" x14ac:dyDescent="0.25">
      <c r="A91" s="13"/>
    </row>
    <row r="94" spans="1:12" x14ac:dyDescent="0.25">
      <c r="A94" s="1">
        <v>2018</v>
      </c>
    </row>
    <row r="95" spans="1:12" ht="15.6" x14ac:dyDescent="0.25">
      <c r="A95" s="125" t="s">
        <v>1093</v>
      </c>
    </row>
    <row r="96" spans="1:12" ht="15.6" x14ac:dyDescent="0.25">
      <c r="A96" s="125"/>
    </row>
    <row r="97" spans="1:1" ht="15.6" x14ac:dyDescent="0.25">
      <c r="A97" s="152">
        <v>2019</v>
      </c>
    </row>
    <row r="98" spans="1:1" ht="15.6" x14ac:dyDescent="0.25">
      <c r="A98" s="125" t="s">
        <v>1093</v>
      </c>
    </row>
    <row r="99" spans="1:1" ht="15.6" x14ac:dyDescent="0.25">
      <c r="A99" s="125"/>
    </row>
    <row r="100" spans="1:1" ht="15.6" x14ac:dyDescent="0.25">
      <c r="A100" s="152">
        <v>2020</v>
      </c>
    </row>
    <row r="101" spans="1:1" ht="15.6" x14ac:dyDescent="0.3">
      <c r="A101" s="172" t="s">
        <v>1272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6" sqref="F6"/>
    </sheetView>
  </sheetViews>
  <sheetFormatPr defaultRowHeight="13.2" x14ac:dyDescent="0.25"/>
  <cols>
    <col min="4" max="4" width="10.109375" customWidth="1"/>
    <col min="5" max="5" width="14.33203125" bestFit="1" customWidth="1"/>
    <col min="6" max="6" width="13.109375" customWidth="1"/>
  </cols>
  <sheetData>
    <row r="1" spans="1:7" ht="15.6" x14ac:dyDescent="0.3">
      <c r="A1" s="14" t="s">
        <v>756</v>
      </c>
      <c r="B1" s="43"/>
      <c r="C1" s="43"/>
      <c r="D1" s="43"/>
      <c r="E1" s="43"/>
      <c r="F1" s="43"/>
      <c r="G1" s="43"/>
    </row>
    <row r="2" spans="1:7" ht="15" x14ac:dyDescent="0.25">
      <c r="A2" s="43"/>
      <c r="B2" s="43"/>
      <c r="C2" s="43"/>
      <c r="D2" s="43"/>
      <c r="E2" s="43"/>
      <c r="F2" s="43"/>
      <c r="G2" s="43"/>
    </row>
    <row r="3" spans="1:7" ht="15" x14ac:dyDescent="0.25">
      <c r="A3" s="43" t="s">
        <v>757</v>
      </c>
      <c r="B3" s="43"/>
      <c r="C3" s="43"/>
      <c r="D3" s="43">
        <v>314</v>
      </c>
      <c r="E3" s="63">
        <v>0</v>
      </c>
      <c r="F3" s="43" t="s">
        <v>1094</v>
      </c>
      <c r="G3" s="43"/>
    </row>
    <row r="4" spans="1:7" ht="15" x14ac:dyDescent="0.25">
      <c r="A4" s="43"/>
      <c r="B4" s="43"/>
      <c r="C4" s="43"/>
      <c r="D4" s="43">
        <v>317</v>
      </c>
      <c r="E4" s="63">
        <v>0</v>
      </c>
      <c r="F4" s="43" t="s">
        <v>1094</v>
      </c>
      <c r="G4" s="43"/>
    </row>
    <row r="5" spans="1:7" ht="15" x14ac:dyDescent="0.25">
      <c r="A5" s="43"/>
      <c r="B5" s="43"/>
      <c r="C5" s="43"/>
      <c r="D5" s="43">
        <v>319</v>
      </c>
      <c r="E5" s="63">
        <f>'TIF GO 2015 (319)'!D12</f>
        <v>62472</v>
      </c>
      <c r="F5" s="43" t="s">
        <v>1242</v>
      </c>
      <c r="G5" s="43"/>
    </row>
    <row r="6" spans="1:7" ht="15" x14ac:dyDescent="0.25">
      <c r="A6" s="43"/>
      <c r="B6" s="43"/>
      <c r="C6" s="43"/>
      <c r="D6" s="43">
        <v>315</v>
      </c>
      <c r="E6" s="63">
        <f>'TAX ABATE 2012A (315)'!D11</f>
        <v>123525</v>
      </c>
      <c r="F6" s="43" t="s">
        <v>1243</v>
      </c>
      <c r="G6" s="43"/>
    </row>
    <row r="7" spans="1:7" ht="15" x14ac:dyDescent="0.25">
      <c r="A7" s="43"/>
      <c r="B7" s="43"/>
      <c r="C7" s="43"/>
      <c r="D7" s="43">
        <v>354</v>
      </c>
      <c r="E7" s="64">
        <f>'Hwy 44 Bond 2013'!C12</f>
        <v>48510</v>
      </c>
      <c r="F7" s="43"/>
      <c r="G7" s="43"/>
    </row>
    <row r="8" spans="1:7" ht="15" x14ac:dyDescent="0.25">
      <c r="A8" s="43"/>
      <c r="B8" s="43"/>
      <c r="C8" s="43"/>
      <c r="D8" s="43"/>
      <c r="E8" s="63"/>
      <c r="F8" s="43"/>
    </row>
    <row r="9" spans="1:7" ht="15" x14ac:dyDescent="0.25">
      <c r="A9" s="43"/>
      <c r="B9" s="43"/>
      <c r="C9" s="43"/>
      <c r="D9" s="43"/>
      <c r="E9" s="63">
        <f>SUM(E3:E7)</f>
        <v>234507</v>
      </c>
      <c r="F9" s="43" t="s">
        <v>58</v>
      </c>
      <c r="G9" s="43"/>
    </row>
    <row r="10" spans="1:7" ht="15" x14ac:dyDescent="0.25">
      <c r="A10" s="43"/>
      <c r="B10" s="43"/>
      <c r="C10" s="43"/>
      <c r="D10" s="43"/>
      <c r="E10" s="63"/>
      <c r="F10" s="43"/>
      <c r="G10" s="43"/>
    </row>
    <row r="11" spans="1:7" ht="15" x14ac:dyDescent="0.25">
      <c r="A11" s="43"/>
      <c r="B11" s="43"/>
      <c r="C11" s="43"/>
      <c r="D11" s="43"/>
      <c r="E11" s="63"/>
      <c r="F11" s="43"/>
      <c r="G11" s="43"/>
    </row>
    <row r="12" spans="1:7" ht="15" x14ac:dyDescent="0.25">
      <c r="A12" s="43" t="s">
        <v>821</v>
      </c>
      <c r="B12" s="43"/>
      <c r="C12" s="43"/>
      <c r="D12" s="43"/>
      <c r="E12" s="109">
        <v>123275</v>
      </c>
      <c r="F12" s="110" t="s">
        <v>1244</v>
      </c>
      <c r="G12" s="43"/>
    </row>
    <row r="13" spans="1:7" ht="15" x14ac:dyDescent="0.25">
      <c r="A13" s="43"/>
      <c r="B13" s="43"/>
      <c r="C13" s="43"/>
      <c r="D13" s="43"/>
      <c r="E13" s="63"/>
      <c r="F13" s="43"/>
      <c r="G13" s="43"/>
    </row>
    <row r="14" spans="1:7" ht="15" x14ac:dyDescent="0.25">
      <c r="A14" s="43" t="s">
        <v>758</v>
      </c>
      <c r="B14" s="43"/>
      <c r="C14" s="43"/>
      <c r="D14" s="43"/>
      <c r="E14" s="43"/>
      <c r="F14" s="43"/>
      <c r="G14" s="43"/>
    </row>
    <row r="15" spans="1:7" ht="15" x14ac:dyDescent="0.25">
      <c r="A15" s="43"/>
      <c r="B15" s="43"/>
      <c r="C15" s="43"/>
      <c r="D15" s="43"/>
      <c r="E15" s="43"/>
      <c r="F15" s="43"/>
      <c r="G15" s="43"/>
    </row>
    <row r="16" spans="1:7" ht="15" x14ac:dyDescent="0.25">
      <c r="A16" s="43"/>
      <c r="B16" s="43"/>
      <c r="C16" s="43"/>
      <c r="D16" s="43"/>
      <c r="E16" s="43"/>
      <c r="F16" s="43"/>
      <c r="G16" s="43"/>
    </row>
    <row r="17" spans="1:7" ht="15" x14ac:dyDescent="0.25">
      <c r="A17" s="43"/>
      <c r="B17" s="43"/>
      <c r="C17" s="43"/>
      <c r="D17" s="43"/>
      <c r="E17" s="43"/>
      <c r="F17" s="43"/>
      <c r="G17" s="43"/>
    </row>
    <row r="18" spans="1:7" ht="15" x14ac:dyDescent="0.25">
      <c r="A18" s="43"/>
      <c r="B18" s="43"/>
      <c r="C18" s="43"/>
      <c r="D18" s="43"/>
      <c r="E18" s="43"/>
      <c r="F18" s="43"/>
      <c r="G18" s="43"/>
    </row>
    <row r="19" spans="1:7" ht="15" x14ac:dyDescent="0.25">
      <c r="A19" s="43"/>
      <c r="B19" s="43"/>
      <c r="C19" s="43"/>
      <c r="D19" s="43"/>
      <c r="E19" s="43"/>
      <c r="F19" s="43"/>
      <c r="G19" s="43"/>
    </row>
    <row r="20" spans="1:7" ht="15" x14ac:dyDescent="0.25">
      <c r="A20" s="43"/>
      <c r="B20" s="43"/>
      <c r="C20" s="43"/>
      <c r="D20" s="43"/>
      <c r="E20" s="43"/>
      <c r="F20" s="43"/>
      <c r="G20" s="43"/>
    </row>
    <row r="21" spans="1:7" ht="15" x14ac:dyDescent="0.25">
      <c r="A21" s="43"/>
      <c r="B21" s="43"/>
      <c r="C21" s="43"/>
      <c r="D21" s="43"/>
      <c r="E21" s="43"/>
      <c r="F21" s="43"/>
      <c r="G21" s="43"/>
    </row>
  </sheetData>
  <pageMargins left="0.7" right="0.7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workbookViewId="0">
      <selection activeCell="J30" sqref="J30"/>
    </sheetView>
  </sheetViews>
  <sheetFormatPr defaultRowHeight="13.2" x14ac:dyDescent="0.25"/>
  <cols>
    <col min="1" max="1" width="25.5546875" bestFit="1" customWidth="1"/>
    <col min="2" max="2" width="18.6640625" bestFit="1" customWidth="1"/>
    <col min="3" max="8" width="11.6640625" customWidth="1"/>
  </cols>
  <sheetData>
    <row r="1" spans="1:8" ht="15.6" x14ac:dyDescent="0.3">
      <c r="A1" s="14" t="s">
        <v>1123</v>
      </c>
      <c r="C1" s="1">
        <v>2020</v>
      </c>
      <c r="D1" s="1">
        <v>2019</v>
      </c>
      <c r="E1" s="42">
        <v>2019</v>
      </c>
      <c r="F1" s="42">
        <v>2018</v>
      </c>
      <c r="G1" s="42">
        <v>2018</v>
      </c>
      <c r="H1" s="17">
        <v>2017</v>
      </c>
    </row>
    <row r="2" spans="1:8" x14ac:dyDescent="0.25">
      <c r="A2" s="27" t="s">
        <v>1124</v>
      </c>
      <c r="C2" s="1" t="s">
        <v>506</v>
      </c>
      <c r="D2" s="1" t="s">
        <v>1206</v>
      </c>
      <c r="E2" s="42" t="s">
        <v>506</v>
      </c>
      <c r="F2" s="42" t="s">
        <v>807</v>
      </c>
      <c r="G2" s="42" t="s">
        <v>506</v>
      </c>
      <c r="H2" s="42" t="s">
        <v>807</v>
      </c>
    </row>
    <row r="5" spans="1:8" x14ac:dyDescent="0.25">
      <c r="A5" s="27" t="s">
        <v>576</v>
      </c>
    </row>
    <row r="6" spans="1:8" x14ac:dyDescent="0.25">
      <c r="A6" s="27" t="s">
        <v>1164</v>
      </c>
      <c r="B6" s="27" t="s">
        <v>599</v>
      </c>
      <c r="C6" s="57">
        <v>0</v>
      </c>
      <c r="D6" s="57">
        <v>0</v>
      </c>
      <c r="E6" s="10">
        <v>0</v>
      </c>
      <c r="F6" s="10">
        <v>5750</v>
      </c>
      <c r="G6" s="10">
        <v>0</v>
      </c>
      <c r="H6" s="10">
        <v>0</v>
      </c>
    </row>
    <row r="7" spans="1:8" x14ac:dyDescent="0.25">
      <c r="A7" s="27" t="s">
        <v>1165</v>
      </c>
      <c r="B7" s="27" t="s">
        <v>695</v>
      </c>
      <c r="C7" s="57">
        <v>0</v>
      </c>
      <c r="D7" s="57">
        <v>0</v>
      </c>
      <c r="E7" s="10">
        <v>0</v>
      </c>
      <c r="F7" s="10">
        <v>155000</v>
      </c>
      <c r="G7" s="10">
        <v>0</v>
      </c>
      <c r="H7" s="10">
        <v>0</v>
      </c>
    </row>
    <row r="8" spans="1:8" x14ac:dyDescent="0.25">
      <c r="A8" s="27" t="s">
        <v>1166</v>
      </c>
      <c r="B8" s="27" t="s">
        <v>1167</v>
      </c>
      <c r="C8" s="57">
        <v>13162</v>
      </c>
      <c r="D8" s="57">
        <v>9402</v>
      </c>
      <c r="E8" s="10">
        <v>13600</v>
      </c>
      <c r="F8" s="10">
        <v>4862</v>
      </c>
      <c r="G8" s="10">
        <v>7000</v>
      </c>
      <c r="H8" s="10">
        <v>0</v>
      </c>
    </row>
    <row r="9" spans="1:8" x14ac:dyDescent="0.25">
      <c r="C9" s="10"/>
      <c r="D9" s="10"/>
      <c r="E9" s="10"/>
      <c r="F9" s="10"/>
      <c r="G9" s="10"/>
      <c r="H9" s="10"/>
    </row>
    <row r="10" spans="1:8" x14ac:dyDescent="0.25">
      <c r="B10" s="27" t="s">
        <v>748</v>
      </c>
      <c r="C10" s="57">
        <f>SUM(C6:C8)</f>
        <v>13162</v>
      </c>
      <c r="D10" s="57">
        <f>SUM(D6:D9)</f>
        <v>9402</v>
      </c>
      <c r="E10" s="10">
        <f>SUM(E6:E9)</f>
        <v>13600</v>
      </c>
      <c r="F10" s="10">
        <f>SUM(F6:F8)</f>
        <v>165612</v>
      </c>
      <c r="G10" s="10">
        <v>0</v>
      </c>
      <c r="H10" s="10">
        <v>0</v>
      </c>
    </row>
    <row r="11" spans="1:8" x14ac:dyDescent="0.25">
      <c r="C11" s="10"/>
      <c r="D11" s="10"/>
    </row>
    <row r="12" spans="1:8" x14ac:dyDescent="0.25">
      <c r="A12" s="27" t="s">
        <v>78</v>
      </c>
      <c r="C12" s="10"/>
      <c r="D12" s="10"/>
    </row>
    <row r="13" spans="1:8" x14ac:dyDescent="0.25">
      <c r="A13" s="27" t="s">
        <v>1168</v>
      </c>
      <c r="B13" s="27" t="s">
        <v>199</v>
      </c>
      <c r="C13" s="57">
        <v>15000</v>
      </c>
      <c r="D13" s="57">
        <v>4905.47</v>
      </c>
      <c r="E13" s="10">
        <v>15000</v>
      </c>
      <c r="F13" s="10">
        <v>5403</v>
      </c>
      <c r="G13" s="10">
        <v>14000</v>
      </c>
      <c r="H13" s="10">
        <v>0</v>
      </c>
    </row>
    <row r="14" spans="1:8" x14ac:dyDescent="0.25">
      <c r="C14" s="10"/>
      <c r="D14" s="10"/>
      <c r="E14" s="10"/>
      <c r="F14" s="10"/>
      <c r="G14" s="10"/>
      <c r="H14" s="10"/>
    </row>
    <row r="15" spans="1:8" x14ac:dyDescent="0.25">
      <c r="B15" s="27" t="s">
        <v>748</v>
      </c>
      <c r="C15" s="57">
        <f>C13</f>
        <v>15000</v>
      </c>
      <c r="D15" s="57">
        <f>SUM(D13:D14)</f>
        <v>4905.47</v>
      </c>
      <c r="E15" s="10">
        <f>SUM(E13:E14)</f>
        <v>15000</v>
      </c>
      <c r="F15" s="10">
        <v>5403</v>
      </c>
      <c r="G15" s="10">
        <f>G13</f>
        <v>14000</v>
      </c>
      <c r="H15" s="10">
        <v>0</v>
      </c>
    </row>
    <row r="16" spans="1:8" x14ac:dyDescent="0.25">
      <c r="D16" s="10"/>
    </row>
    <row r="18" spans="1:8" x14ac:dyDescent="0.25">
      <c r="A18" s="27" t="s">
        <v>1169</v>
      </c>
      <c r="E18" s="10"/>
      <c r="F18" s="10"/>
      <c r="G18" s="10"/>
      <c r="H18" s="10"/>
    </row>
    <row r="19" spans="1:8" x14ac:dyDescent="0.25">
      <c r="A19" s="27" t="s">
        <v>1170</v>
      </c>
      <c r="E19" s="10"/>
      <c r="F19" s="10"/>
      <c r="G19" s="10"/>
      <c r="H19" s="10"/>
    </row>
    <row r="20" spans="1:8" x14ac:dyDescent="0.25">
      <c r="A20" s="27"/>
      <c r="E20" s="10"/>
      <c r="F20" s="10"/>
      <c r="G20" s="10"/>
      <c r="H20" s="10"/>
    </row>
    <row r="21" spans="1:8" x14ac:dyDescent="0.25">
      <c r="E21" s="10"/>
      <c r="F21" s="10"/>
      <c r="G21" s="10"/>
      <c r="H21" s="10"/>
    </row>
    <row r="22" spans="1:8" x14ac:dyDescent="0.25">
      <c r="A22" s="25"/>
      <c r="E22" s="10"/>
      <c r="F22" s="10"/>
      <c r="G22" s="10"/>
      <c r="H22" s="10"/>
    </row>
    <row r="23" spans="1:8" x14ac:dyDescent="0.25">
      <c r="E23" s="10"/>
      <c r="F23" s="10"/>
      <c r="G23" s="10"/>
      <c r="H23" s="10"/>
    </row>
    <row r="24" spans="1:8" x14ac:dyDescent="0.25">
      <c r="E24" s="10"/>
      <c r="F24" s="10"/>
      <c r="G24" s="10"/>
      <c r="H24" s="10"/>
    </row>
    <row r="25" spans="1:8" x14ac:dyDescent="0.25">
      <c r="E25" s="10"/>
      <c r="F25" s="10"/>
      <c r="G25" s="10"/>
      <c r="H25" s="10"/>
    </row>
    <row r="26" spans="1:8" x14ac:dyDescent="0.25">
      <c r="E26" s="10"/>
      <c r="F26" s="10"/>
      <c r="G26" s="10"/>
      <c r="H26" s="10"/>
    </row>
    <row r="27" spans="1:8" x14ac:dyDescent="0.25">
      <c r="A27" s="13"/>
      <c r="E27" s="10"/>
      <c r="F27" s="10"/>
      <c r="G27" s="10"/>
      <c r="H27" s="10"/>
    </row>
    <row r="28" spans="1:8" x14ac:dyDescent="0.25">
      <c r="E28" s="10"/>
      <c r="F28" s="10"/>
      <c r="G28" s="10"/>
      <c r="H28" s="10"/>
    </row>
    <row r="29" spans="1:8" x14ac:dyDescent="0.25">
      <c r="A29" s="25"/>
      <c r="E29" s="10"/>
      <c r="F29" s="10"/>
      <c r="G29" s="10"/>
      <c r="H29" s="10"/>
    </row>
    <row r="30" spans="1:8" x14ac:dyDescent="0.25">
      <c r="G30" s="10"/>
      <c r="H30" s="10"/>
    </row>
  </sheetData>
  <pageMargins left="0.7" right="0.7" top="0.75" bottom="0.75" header="0.3" footer="0.3"/>
  <pageSetup orientation="landscape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topLeftCell="B1" workbookViewId="0">
      <selection activeCell="P24" sqref="P24"/>
    </sheetView>
  </sheetViews>
  <sheetFormatPr defaultRowHeight="13.2" x14ac:dyDescent="0.25"/>
  <cols>
    <col min="1" max="1" width="18.44140625" customWidth="1"/>
    <col min="2" max="2" width="27.44140625" customWidth="1"/>
    <col min="3" max="3" width="5.6640625" customWidth="1"/>
    <col min="4" max="10" width="11.6640625" customWidth="1"/>
  </cols>
  <sheetData>
    <row r="1" spans="1:10" ht="15.6" x14ac:dyDescent="0.3">
      <c r="B1" s="14" t="s">
        <v>640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17">
        <v>2017</v>
      </c>
      <c r="J1" s="42">
        <v>2017</v>
      </c>
    </row>
    <row r="2" spans="1:10" x14ac:dyDescent="0.25">
      <c r="B2" s="27" t="s">
        <v>723</v>
      </c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 t="s">
        <v>807</v>
      </c>
      <c r="J2" s="42" t="s">
        <v>506</v>
      </c>
    </row>
    <row r="4" spans="1:10" x14ac:dyDescent="0.25">
      <c r="A4" t="s">
        <v>490</v>
      </c>
    </row>
    <row r="5" spans="1:10" x14ac:dyDescent="0.25">
      <c r="A5" t="s">
        <v>79</v>
      </c>
    </row>
    <row r="7" spans="1:10" x14ac:dyDescent="0.25">
      <c r="B7" t="s">
        <v>194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</row>
    <row r="8" spans="1:10" x14ac:dyDescent="0.25">
      <c r="B8" t="s">
        <v>195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x14ac:dyDescent="0.25">
      <c r="B9" s="27" t="s">
        <v>898</v>
      </c>
      <c r="D9" s="10">
        <v>0</v>
      </c>
      <c r="E9" s="10">
        <v>0</v>
      </c>
      <c r="F9" s="10">
        <v>17000</v>
      </c>
      <c r="G9" s="10">
        <v>13038.33</v>
      </c>
      <c r="H9" s="10">
        <v>17610</v>
      </c>
      <c r="I9" s="10">
        <v>5948.9</v>
      </c>
      <c r="J9" s="10">
        <v>12921</v>
      </c>
    </row>
    <row r="10" spans="1:10" x14ac:dyDescent="0.25">
      <c r="D10" s="10"/>
      <c r="E10" s="10"/>
      <c r="F10" s="10"/>
      <c r="G10" s="10"/>
      <c r="H10" s="10"/>
      <c r="I10" s="10"/>
      <c r="J10" s="10"/>
    </row>
    <row r="11" spans="1:10" x14ac:dyDescent="0.25">
      <c r="B11" s="25" t="s">
        <v>58</v>
      </c>
      <c r="D11" s="10"/>
      <c r="E11" s="10"/>
      <c r="F11" s="10">
        <f>SUM(F7:F9)</f>
        <v>17000</v>
      </c>
      <c r="G11" s="10">
        <f>SUM(G7:G10)</f>
        <v>13038.33</v>
      </c>
      <c r="H11" s="10">
        <f>SUM(H7:H9)</f>
        <v>17610</v>
      </c>
      <c r="I11" s="10">
        <f>SUM(I7:I9)</f>
        <v>5948.9</v>
      </c>
      <c r="J11" s="10">
        <f>SUM(J7:J9)</f>
        <v>12921</v>
      </c>
    </row>
    <row r="12" spans="1:10" x14ac:dyDescent="0.25">
      <c r="D12" s="10"/>
      <c r="E12" s="10"/>
      <c r="F12" s="10"/>
      <c r="G12" s="10"/>
      <c r="H12" s="10"/>
      <c r="I12" s="10"/>
      <c r="J12" s="10"/>
    </row>
    <row r="13" spans="1:10" x14ac:dyDescent="0.25">
      <c r="A13" t="s">
        <v>78</v>
      </c>
      <c r="D13" s="10"/>
      <c r="E13" s="10"/>
      <c r="F13" s="10"/>
      <c r="G13" s="10"/>
      <c r="H13" s="10"/>
      <c r="I13" s="10"/>
      <c r="J13" s="10"/>
    </row>
    <row r="14" spans="1:10" x14ac:dyDescent="0.25">
      <c r="B14" t="s">
        <v>198</v>
      </c>
      <c r="D14" s="10">
        <v>0</v>
      </c>
      <c r="E14" s="10">
        <v>0</v>
      </c>
      <c r="F14" s="10">
        <v>0</v>
      </c>
      <c r="G14" s="10">
        <f t="shared" ref="G14:G16" si="0">SUM(G12)</f>
        <v>0</v>
      </c>
      <c r="H14" s="10">
        <v>0</v>
      </c>
      <c r="I14" s="10">
        <v>0</v>
      </c>
      <c r="J14" s="10">
        <v>0</v>
      </c>
    </row>
    <row r="15" spans="1:10" x14ac:dyDescent="0.25">
      <c r="B15" t="s">
        <v>199</v>
      </c>
      <c r="D15" s="10">
        <v>17000</v>
      </c>
      <c r="E15" s="10">
        <v>0</v>
      </c>
      <c r="F15" s="10">
        <v>17000</v>
      </c>
      <c r="G15" s="10">
        <v>5939.53</v>
      </c>
      <c r="H15" s="10">
        <v>17610</v>
      </c>
      <c r="I15" s="10">
        <f>17835.52+12.57</f>
        <v>17848.09</v>
      </c>
      <c r="J15" s="10">
        <v>12921</v>
      </c>
    </row>
    <row r="16" spans="1:10" x14ac:dyDescent="0.25">
      <c r="B16" s="13" t="s">
        <v>40</v>
      </c>
      <c r="D16" s="10">
        <v>0</v>
      </c>
      <c r="E16" s="10">
        <v>0</v>
      </c>
      <c r="F16" s="10">
        <v>0</v>
      </c>
      <c r="G16" s="10">
        <f t="shared" si="0"/>
        <v>0</v>
      </c>
      <c r="H16" s="10">
        <v>0</v>
      </c>
      <c r="I16" s="10">
        <v>0</v>
      </c>
      <c r="J16" s="10">
        <v>0</v>
      </c>
    </row>
    <row r="17" spans="1:12" x14ac:dyDescent="0.25">
      <c r="D17" s="10"/>
      <c r="E17" s="10"/>
      <c r="F17" s="10"/>
      <c r="G17" s="10"/>
      <c r="H17" s="10"/>
      <c r="I17" s="10"/>
      <c r="J17" s="10"/>
    </row>
    <row r="18" spans="1:12" x14ac:dyDescent="0.25">
      <c r="B18" s="25" t="s">
        <v>58</v>
      </c>
      <c r="D18" s="10">
        <f>SUM(D14:D17)</f>
        <v>17000</v>
      </c>
      <c r="E18" s="10">
        <f>SUM(E14:E17)</f>
        <v>0</v>
      </c>
      <c r="F18" s="10">
        <f>SUM(F14:F16)</f>
        <v>17000</v>
      </c>
      <c r="G18" s="10">
        <f>SUM(G14:G16)</f>
        <v>5939.53</v>
      </c>
      <c r="H18" s="10">
        <f t="shared" ref="H18:J18" si="1">SUM(H14:H17)</f>
        <v>17610</v>
      </c>
      <c r="I18" s="10">
        <f t="shared" si="1"/>
        <v>17848.09</v>
      </c>
      <c r="J18" s="10">
        <f t="shared" si="1"/>
        <v>12921</v>
      </c>
    </row>
    <row r="19" spans="1:12" x14ac:dyDescent="0.25">
      <c r="H19" s="10"/>
      <c r="I19" s="10"/>
      <c r="J19" s="10"/>
    </row>
    <row r="20" spans="1:12" x14ac:dyDescent="0.25">
      <c r="A20" s="13"/>
    </row>
    <row r="21" spans="1:12" x14ac:dyDescent="0.25">
      <c r="B21" s="27" t="s">
        <v>725</v>
      </c>
    </row>
    <row r="22" spans="1:12" x14ac:dyDescent="0.25">
      <c r="B22" s="27" t="s">
        <v>726</v>
      </c>
    </row>
    <row r="23" spans="1:12" x14ac:dyDescent="0.25">
      <c r="B23" s="27" t="s">
        <v>727</v>
      </c>
    </row>
    <row r="24" spans="1:12" x14ac:dyDescent="0.25">
      <c r="B24" s="27" t="s">
        <v>882</v>
      </c>
    </row>
    <row r="26" spans="1:12" x14ac:dyDescent="0.25">
      <c r="B26" s="51" t="s">
        <v>1095</v>
      </c>
    </row>
    <row r="28" spans="1:12" x14ac:dyDescent="0.25">
      <c r="B28" s="27" t="s">
        <v>1096</v>
      </c>
    </row>
    <row r="29" spans="1:12" x14ac:dyDescent="0.25">
      <c r="B29" s="27" t="s">
        <v>1163</v>
      </c>
      <c r="L29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workbookViewId="0">
      <selection activeCell="J1" sqref="J1:K1048576"/>
    </sheetView>
  </sheetViews>
  <sheetFormatPr defaultRowHeight="13.2" x14ac:dyDescent="0.25"/>
  <cols>
    <col min="1" max="1" width="18.44140625" customWidth="1"/>
    <col min="2" max="2" width="37.33203125" bestFit="1" customWidth="1"/>
    <col min="3" max="3" width="5.6640625" customWidth="1"/>
    <col min="4" max="9" width="11.6640625" customWidth="1"/>
  </cols>
  <sheetData>
    <row r="1" spans="1:9" ht="15.6" x14ac:dyDescent="0.3">
      <c r="B1" s="14" t="s">
        <v>661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17">
        <v>2017</v>
      </c>
    </row>
    <row r="2" spans="1:9" x14ac:dyDescent="0.25"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 t="s">
        <v>807</v>
      </c>
    </row>
    <row r="3" spans="1:9" x14ac:dyDescent="0.25">
      <c r="F3" s="1"/>
    </row>
    <row r="4" spans="1:9" x14ac:dyDescent="0.25">
      <c r="A4" t="s">
        <v>490</v>
      </c>
    </row>
    <row r="5" spans="1:9" x14ac:dyDescent="0.25">
      <c r="A5" t="s">
        <v>79</v>
      </c>
    </row>
    <row r="7" spans="1:9" x14ac:dyDescent="0.25">
      <c r="B7" t="s">
        <v>194</v>
      </c>
      <c r="D7" s="10">
        <v>105000</v>
      </c>
      <c r="E7" s="10">
        <v>1000</v>
      </c>
      <c r="F7" s="10">
        <v>100000</v>
      </c>
      <c r="G7" s="10">
        <v>95000</v>
      </c>
      <c r="H7" s="10">
        <v>95000</v>
      </c>
      <c r="I7" s="10">
        <v>95000</v>
      </c>
    </row>
    <row r="8" spans="1:9" x14ac:dyDescent="0.25">
      <c r="B8" t="s">
        <v>195</v>
      </c>
      <c r="D8" s="10">
        <v>18125</v>
      </c>
      <c r="E8" s="10">
        <v>20769</v>
      </c>
      <c r="F8" s="10">
        <v>20770</v>
      </c>
      <c r="G8" s="10">
        <v>23284.5</v>
      </c>
      <c r="H8" s="10">
        <v>23285</v>
      </c>
      <c r="I8" s="10">
        <v>25736</v>
      </c>
    </row>
    <row r="9" spans="1:9" x14ac:dyDescent="0.25">
      <c r="B9" t="s">
        <v>196</v>
      </c>
      <c r="D9" s="10">
        <v>400</v>
      </c>
      <c r="E9" s="10">
        <v>400</v>
      </c>
      <c r="F9" s="10">
        <v>400</v>
      </c>
      <c r="G9" s="10">
        <v>400</v>
      </c>
      <c r="H9" s="10">
        <v>400</v>
      </c>
      <c r="I9" s="10">
        <v>400</v>
      </c>
    </row>
    <row r="10" spans="1:9" x14ac:dyDescent="0.25">
      <c r="D10" s="10"/>
      <c r="E10" s="10"/>
      <c r="F10" s="10"/>
      <c r="G10" s="10"/>
      <c r="H10" s="10"/>
      <c r="I10" s="10"/>
    </row>
    <row r="11" spans="1:9" x14ac:dyDescent="0.25">
      <c r="B11" s="25" t="s">
        <v>58</v>
      </c>
      <c r="D11" s="10">
        <f>SUM(D7:D9)</f>
        <v>123525</v>
      </c>
      <c r="E11" s="10">
        <f>SUM(E7:E9)</f>
        <v>22169</v>
      </c>
      <c r="F11" s="10">
        <f>SUM(F7:F9)</f>
        <v>121170</v>
      </c>
      <c r="G11" s="10">
        <f t="shared" ref="G11:I11" si="0">SUM(G7:G10)</f>
        <v>118684.5</v>
      </c>
      <c r="H11" s="10">
        <f t="shared" si="0"/>
        <v>118685</v>
      </c>
      <c r="I11" s="10">
        <f t="shared" si="0"/>
        <v>121136</v>
      </c>
    </row>
    <row r="12" spans="1:9" x14ac:dyDescent="0.25">
      <c r="D12" s="10"/>
      <c r="E12" s="10"/>
      <c r="F12" s="10"/>
      <c r="G12" s="10"/>
      <c r="H12" s="10"/>
      <c r="I12" s="10"/>
    </row>
    <row r="13" spans="1:9" x14ac:dyDescent="0.25">
      <c r="A13" t="s">
        <v>78</v>
      </c>
      <c r="D13" s="10"/>
      <c r="E13" s="10"/>
      <c r="F13" s="10"/>
      <c r="G13" s="10"/>
      <c r="H13" s="10"/>
      <c r="I13" s="10"/>
    </row>
    <row r="14" spans="1:9" x14ac:dyDescent="0.25">
      <c r="B14" s="27" t="s">
        <v>1109</v>
      </c>
      <c r="D14" s="22">
        <v>98525</v>
      </c>
      <c r="E14" s="10">
        <v>53054.02</v>
      </c>
      <c r="F14" s="10">
        <v>96170</v>
      </c>
      <c r="G14" s="10">
        <v>93633.53</v>
      </c>
      <c r="H14" s="10">
        <v>93685</v>
      </c>
      <c r="I14" s="10">
        <v>96708.57</v>
      </c>
    </row>
    <row r="15" spans="1:9" x14ac:dyDescent="0.25">
      <c r="B15" s="27" t="s">
        <v>697</v>
      </c>
      <c r="D15" s="10">
        <f t="shared" ref="D15:D16" si="1">SUM(D12)</f>
        <v>0</v>
      </c>
      <c r="E15" s="10">
        <v>21.12</v>
      </c>
      <c r="F15" s="10">
        <v>0</v>
      </c>
      <c r="G15" s="10">
        <v>63.92</v>
      </c>
      <c r="H15" s="10">
        <v>0</v>
      </c>
      <c r="I15" s="10">
        <v>88.05</v>
      </c>
    </row>
    <row r="16" spans="1:9" x14ac:dyDescent="0.25">
      <c r="B16" t="s">
        <v>201</v>
      </c>
      <c r="D16" s="10">
        <f t="shared" si="1"/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11" x14ac:dyDescent="0.25">
      <c r="B17" s="27" t="s">
        <v>724</v>
      </c>
      <c r="D17" s="10">
        <v>25000</v>
      </c>
      <c r="E17" s="10">
        <v>20679.87</v>
      </c>
      <c r="F17" s="10">
        <v>25000</v>
      </c>
      <c r="G17" s="10">
        <f>33180.88-1642</f>
        <v>31538.879999999997</v>
      </c>
      <c r="H17" s="10">
        <v>25000</v>
      </c>
      <c r="I17" s="10">
        <v>23174.34</v>
      </c>
    </row>
    <row r="18" spans="1:11" x14ac:dyDescent="0.25">
      <c r="B18" s="27"/>
      <c r="D18" s="10"/>
      <c r="E18" s="10"/>
      <c r="F18" s="10"/>
      <c r="G18" s="10"/>
      <c r="H18" s="10"/>
      <c r="I18" s="10"/>
    </row>
    <row r="19" spans="1:11" x14ac:dyDescent="0.25">
      <c r="B19" s="25" t="s">
        <v>58</v>
      </c>
      <c r="D19" s="10">
        <f>SUM(D14:D17)</f>
        <v>123525</v>
      </c>
      <c r="E19" s="10">
        <f>SUM(E14:E17)</f>
        <v>73755.009999999995</v>
      </c>
      <c r="F19" s="10">
        <f>SUM(F14:F17)</f>
        <v>121170</v>
      </c>
      <c r="G19" s="10">
        <f t="shared" ref="G19:I19" si="2">SUM(G14:G18)</f>
        <v>125236.32999999999</v>
      </c>
      <c r="H19" s="10">
        <f t="shared" si="2"/>
        <v>118685</v>
      </c>
      <c r="I19" s="10">
        <f t="shared" si="2"/>
        <v>119970.96</v>
      </c>
    </row>
    <row r="21" spans="1:11" x14ac:dyDescent="0.25">
      <c r="A21" s="13"/>
    </row>
    <row r="22" spans="1:11" x14ac:dyDescent="0.25">
      <c r="A22" s="27" t="s">
        <v>728</v>
      </c>
    </row>
    <row r="23" spans="1:11" x14ac:dyDescent="0.25">
      <c r="A23" s="27" t="s">
        <v>729</v>
      </c>
    </row>
    <row r="24" spans="1:11" x14ac:dyDescent="0.25">
      <c r="A24" s="27" t="s">
        <v>730</v>
      </c>
    </row>
    <row r="31" spans="1:11" x14ac:dyDescent="0.25">
      <c r="K31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workbookViewId="0">
      <selection activeCell="K1" sqref="K1:L1048576"/>
    </sheetView>
  </sheetViews>
  <sheetFormatPr defaultRowHeight="13.2" x14ac:dyDescent="0.25"/>
  <cols>
    <col min="2" max="2" width="27.33203125" bestFit="1" customWidth="1"/>
    <col min="3" max="3" width="6.33203125" customWidth="1"/>
    <col min="4" max="7" width="11.6640625" customWidth="1"/>
    <col min="8" max="9" width="10.33203125" bestFit="1" customWidth="1"/>
    <col min="10" max="10" width="11.6640625" customWidth="1"/>
  </cols>
  <sheetData>
    <row r="1" spans="1:12" ht="15.6" x14ac:dyDescent="0.3">
      <c r="B1" s="14" t="s">
        <v>899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17">
        <v>2017</v>
      </c>
      <c r="J1" s="42">
        <v>2017</v>
      </c>
      <c r="K1" s="42"/>
      <c r="L1" s="42"/>
    </row>
    <row r="2" spans="1:12" x14ac:dyDescent="0.25">
      <c r="B2" s="27" t="s">
        <v>732</v>
      </c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 t="s">
        <v>807</v>
      </c>
      <c r="J2" s="42" t="s">
        <v>506</v>
      </c>
      <c r="K2" s="42"/>
      <c r="L2" s="42"/>
    </row>
    <row r="4" spans="1:12" x14ac:dyDescent="0.25">
      <c r="A4" t="s">
        <v>490</v>
      </c>
    </row>
    <row r="5" spans="1:12" x14ac:dyDescent="0.25">
      <c r="A5" t="s">
        <v>79</v>
      </c>
    </row>
    <row r="6" spans="1:12" x14ac:dyDescent="0.25">
      <c r="C6" s="10"/>
      <c r="D6" s="10"/>
      <c r="E6" s="10"/>
      <c r="F6" s="10"/>
      <c r="G6" s="10"/>
      <c r="H6" s="10"/>
      <c r="I6" s="10"/>
      <c r="K6" s="10"/>
    </row>
    <row r="7" spans="1:12" x14ac:dyDescent="0.25">
      <c r="A7" s="27"/>
      <c r="B7" s="27" t="s">
        <v>900</v>
      </c>
      <c r="C7" s="10"/>
      <c r="D7" s="10">
        <v>25000</v>
      </c>
      <c r="E7" s="10">
        <v>26845.16</v>
      </c>
      <c r="F7" s="10">
        <v>8000</v>
      </c>
      <c r="G7" s="10">
        <v>41540.160000000003</v>
      </c>
      <c r="H7" s="10">
        <v>8165</v>
      </c>
      <c r="I7" s="10">
        <v>3097</v>
      </c>
      <c r="J7" s="10">
        <v>43245</v>
      </c>
      <c r="K7" s="10"/>
      <c r="L7" s="10"/>
    </row>
    <row r="8" spans="1:12" x14ac:dyDescent="0.25">
      <c r="C8" s="10"/>
      <c r="D8" s="10"/>
      <c r="E8" s="10"/>
      <c r="F8" s="10"/>
      <c r="G8" s="10"/>
      <c r="H8" s="10"/>
      <c r="I8" s="10"/>
      <c r="J8" s="10"/>
      <c r="K8" s="10"/>
      <c r="L8" s="39"/>
    </row>
    <row r="9" spans="1:12" x14ac:dyDescent="0.25">
      <c r="B9" s="25" t="s">
        <v>58</v>
      </c>
      <c r="C9" s="10"/>
      <c r="D9" s="10">
        <v>0</v>
      </c>
      <c r="E9" s="10">
        <f>E7</f>
        <v>26845.16</v>
      </c>
      <c r="F9" s="10">
        <v>8000</v>
      </c>
      <c r="G9" s="10">
        <f>SUM(G7:G8)</f>
        <v>41540.160000000003</v>
      </c>
      <c r="H9" s="10">
        <v>8165</v>
      </c>
      <c r="I9" s="10">
        <f>SUM(I7:I8)</f>
        <v>3097</v>
      </c>
      <c r="J9" s="10">
        <f>SUM(J7:J8)</f>
        <v>43245</v>
      </c>
      <c r="K9" s="10"/>
      <c r="L9" s="39"/>
    </row>
    <row r="10" spans="1:12" x14ac:dyDescent="0.25">
      <c r="C10" s="10"/>
      <c r="D10" s="10"/>
      <c r="E10" s="10"/>
      <c r="F10" s="10"/>
      <c r="G10" s="10"/>
      <c r="H10" s="10"/>
      <c r="I10" s="10"/>
      <c r="K10" s="10"/>
      <c r="L10" s="10"/>
    </row>
    <row r="11" spans="1:12" x14ac:dyDescent="0.25">
      <c r="A11" t="s">
        <v>78</v>
      </c>
      <c r="C11" s="10"/>
      <c r="D11" s="10"/>
      <c r="E11" s="10"/>
      <c r="F11" s="10"/>
      <c r="G11" s="10"/>
      <c r="H11" s="10"/>
      <c r="I11" s="10"/>
      <c r="K11" s="10"/>
      <c r="L11" s="21"/>
    </row>
    <row r="12" spans="1:12" x14ac:dyDescent="0.25">
      <c r="B12" t="s">
        <v>199</v>
      </c>
      <c r="C12" s="10"/>
      <c r="D12" s="10">
        <v>25000</v>
      </c>
      <c r="E12" s="10">
        <v>26845.34</v>
      </c>
      <c r="F12" s="10">
        <v>8000</v>
      </c>
      <c r="G12" s="10">
        <v>14539.29</v>
      </c>
      <c r="H12" s="10">
        <v>8165</v>
      </c>
      <c r="I12" s="10">
        <v>8235</v>
      </c>
      <c r="J12" s="10">
        <v>3500</v>
      </c>
      <c r="K12" s="10"/>
      <c r="L12" s="39"/>
    </row>
    <row r="13" spans="1:12" x14ac:dyDescent="0.25">
      <c r="B13" s="27" t="s">
        <v>641</v>
      </c>
      <c r="C13" s="10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/>
      <c r="L13" s="39"/>
    </row>
    <row r="14" spans="1:12" x14ac:dyDescent="0.25">
      <c r="B14" t="s">
        <v>200</v>
      </c>
      <c r="C14" s="10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/>
      <c r="L14" s="39"/>
    </row>
    <row r="15" spans="1:12" x14ac:dyDescent="0.25">
      <c r="B15" s="27" t="s">
        <v>731</v>
      </c>
      <c r="C15" s="10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/>
      <c r="L15" s="39"/>
    </row>
    <row r="16" spans="1:12" x14ac:dyDescent="0.25">
      <c r="C16" s="10"/>
      <c r="D16" s="10"/>
      <c r="E16" s="10"/>
      <c r="F16" s="10"/>
      <c r="G16" s="10"/>
      <c r="H16" s="10"/>
      <c r="I16" s="10"/>
      <c r="J16" s="10"/>
      <c r="K16" s="10"/>
      <c r="L16" s="39"/>
    </row>
    <row r="17" spans="1:12" x14ac:dyDescent="0.25">
      <c r="B17" s="25" t="s">
        <v>58</v>
      </c>
      <c r="C17" s="10"/>
      <c r="D17" s="10">
        <f>SUM(D12:D15)</f>
        <v>25000</v>
      </c>
      <c r="E17" s="10">
        <f>SUM(E12:E15)</f>
        <v>26845.34</v>
      </c>
      <c r="F17" s="10">
        <v>8000</v>
      </c>
      <c r="G17" s="10">
        <f t="shared" ref="G17:J17" si="0">SUM(G12:G16)</f>
        <v>14539.29</v>
      </c>
      <c r="H17" s="10">
        <f t="shared" si="0"/>
        <v>8165</v>
      </c>
      <c r="I17" s="10">
        <f t="shared" si="0"/>
        <v>8235</v>
      </c>
      <c r="J17" s="10">
        <f t="shared" si="0"/>
        <v>3500</v>
      </c>
      <c r="K17" s="10"/>
      <c r="L17" s="39"/>
    </row>
    <row r="18" spans="1:12" x14ac:dyDescent="0.25">
      <c r="C18" s="10"/>
      <c r="D18" s="10"/>
      <c r="E18" s="10"/>
      <c r="F18" s="10"/>
      <c r="G18" s="10"/>
      <c r="H18" s="10"/>
      <c r="I18" s="10"/>
    </row>
    <row r="19" spans="1:12" x14ac:dyDescent="0.25">
      <c r="C19" s="10"/>
      <c r="D19" s="10"/>
      <c r="E19" s="10"/>
      <c r="F19" s="10"/>
      <c r="G19" s="10"/>
      <c r="H19" s="10"/>
      <c r="I19" s="10"/>
    </row>
    <row r="20" spans="1:12" x14ac:dyDescent="0.25">
      <c r="A20" t="s">
        <v>1110</v>
      </c>
      <c r="B20" s="27"/>
    </row>
    <row r="21" spans="1:12" x14ac:dyDescent="0.25">
      <c r="A21" s="27" t="s">
        <v>1171</v>
      </c>
    </row>
  </sheetData>
  <pageMargins left="0.7" right="0.7" top="0.75" bottom="0.75" header="0.3" footer="0.3"/>
  <pageSetup orientation="landscape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workbookViewId="0">
      <selection activeCell="J7" sqref="J1:K1048576"/>
    </sheetView>
  </sheetViews>
  <sheetFormatPr defaultRowHeight="13.2" x14ac:dyDescent="0.25"/>
  <cols>
    <col min="1" max="1" width="16.33203125" bestFit="1" customWidth="1"/>
    <col min="2" max="2" width="27.33203125" bestFit="1" customWidth="1"/>
    <col min="4" max="9" width="11.6640625" customWidth="1"/>
  </cols>
  <sheetData>
    <row r="1" spans="1:13" ht="15.6" x14ac:dyDescent="0.3">
      <c r="B1" s="14" t="s">
        <v>894</v>
      </c>
      <c r="D1" s="1">
        <v>2020</v>
      </c>
      <c r="E1" s="1">
        <v>2019</v>
      </c>
      <c r="F1" s="1">
        <v>2019</v>
      </c>
      <c r="G1" s="42">
        <v>2018</v>
      </c>
      <c r="H1" s="42">
        <v>2018</v>
      </c>
      <c r="I1" s="42">
        <v>2017</v>
      </c>
      <c r="J1" s="42"/>
      <c r="K1" s="42"/>
      <c r="L1" s="42"/>
      <c r="M1" s="42"/>
    </row>
    <row r="2" spans="1:13" x14ac:dyDescent="0.25">
      <c r="B2" s="27" t="s">
        <v>895</v>
      </c>
      <c r="D2" s="1" t="s">
        <v>506</v>
      </c>
      <c r="E2" s="1" t="s">
        <v>1206</v>
      </c>
      <c r="F2" s="1" t="s">
        <v>506</v>
      </c>
      <c r="G2" s="42" t="s">
        <v>807</v>
      </c>
      <c r="H2" s="42" t="s">
        <v>506</v>
      </c>
      <c r="I2" s="42" t="s">
        <v>807</v>
      </c>
      <c r="J2" s="42"/>
      <c r="K2" s="42"/>
      <c r="L2" s="42"/>
      <c r="M2" s="42"/>
    </row>
    <row r="4" spans="1:13" x14ac:dyDescent="0.25">
      <c r="A4" t="s">
        <v>490</v>
      </c>
    </row>
    <row r="5" spans="1:13" x14ac:dyDescent="0.25">
      <c r="A5" t="s">
        <v>79</v>
      </c>
    </row>
    <row r="6" spans="1:13" x14ac:dyDescent="0.25">
      <c r="L6" s="10"/>
    </row>
    <row r="7" spans="1:13" x14ac:dyDescent="0.25">
      <c r="A7" s="27"/>
      <c r="B7" t="s">
        <v>194</v>
      </c>
      <c r="D7" s="10">
        <v>58000</v>
      </c>
      <c r="E7" s="10">
        <v>53000</v>
      </c>
      <c r="F7" s="10">
        <v>53000</v>
      </c>
      <c r="G7" s="10">
        <v>54000</v>
      </c>
      <c r="H7" s="10">
        <v>54000</v>
      </c>
      <c r="I7" s="10">
        <v>44000</v>
      </c>
      <c r="J7" s="10"/>
      <c r="K7" s="10"/>
      <c r="L7" s="10"/>
      <c r="M7" s="10"/>
    </row>
    <row r="8" spans="1:13" x14ac:dyDescent="0.25">
      <c r="A8" s="27"/>
      <c r="B8" t="s">
        <v>195</v>
      </c>
      <c r="D8" s="10">
        <v>4347</v>
      </c>
      <c r="E8" s="10">
        <v>5623.5</v>
      </c>
      <c r="F8" s="10">
        <v>5624</v>
      </c>
      <c r="G8" s="10">
        <v>6854</v>
      </c>
      <c r="H8" s="10">
        <v>6855</v>
      </c>
      <c r="I8" s="10">
        <v>7981</v>
      </c>
      <c r="J8" s="10"/>
      <c r="K8" s="10"/>
      <c r="L8" s="10"/>
      <c r="M8" s="10"/>
    </row>
    <row r="9" spans="1:13" x14ac:dyDescent="0.25">
      <c r="B9" t="s">
        <v>196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/>
      <c r="K9" s="10"/>
      <c r="L9" s="10"/>
      <c r="M9" s="10"/>
    </row>
    <row r="10" spans="1:13" x14ac:dyDescent="0.25">
      <c r="B10" t="s">
        <v>197</v>
      </c>
      <c r="D10" s="10">
        <v>125</v>
      </c>
      <c r="E10" s="10">
        <v>125</v>
      </c>
      <c r="F10" s="10">
        <v>125</v>
      </c>
      <c r="G10" s="10">
        <v>125</v>
      </c>
      <c r="H10" s="10">
        <v>0</v>
      </c>
      <c r="I10" s="10">
        <v>125</v>
      </c>
      <c r="J10" s="10"/>
      <c r="K10" s="10"/>
      <c r="L10" s="10"/>
      <c r="M10" s="10"/>
    </row>
    <row r="11" spans="1:13" x14ac:dyDescent="0.25">
      <c r="D11" s="10"/>
      <c r="E11" s="10"/>
      <c r="F11" s="10"/>
      <c r="G11" s="10"/>
      <c r="H11" s="10"/>
      <c r="I11" s="10"/>
      <c r="J11" s="10"/>
      <c r="K11" s="10"/>
      <c r="L11" s="10"/>
      <c r="M11" s="39"/>
    </row>
    <row r="12" spans="1:13" x14ac:dyDescent="0.25">
      <c r="B12" s="25" t="s">
        <v>58</v>
      </c>
      <c r="D12" s="10">
        <f>SUM(D7:D10)</f>
        <v>62472</v>
      </c>
      <c r="E12" s="10">
        <f>SUM(E7:E10)</f>
        <v>58748.5</v>
      </c>
      <c r="F12" s="10">
        <f>SUM(F7:F10)</f>
        <v>58749</v>
      </c>
      <c r="G12" s="10">
        <f>SUM(G7:G11)</f>
        <v>60979</v>
      </c>
      <c r="H12" s="10">
        <f>SUM(H7:H10)</f>
        <v>60855</v>
      </c>
      <c r="I12" s="10">
        <f>SUM(I7:I11)</f>
        <v>52106</v>
      </c>
      <c r="J12" s="10"/>
      <c r="K12" s="10"/>
      <c r="L12" s="10"/>
      <c r="M12" s="39"/>
    </row>
    <row r="13" spans="1:13" x14ac:dyDescent="0.25"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A14" t="s">
        <v>78</v>
      </c>
      <c r="D14" s="10"/>
      <c r="E14" s="10"/>
      <c r="F14" s="10"/>
      <c r="G14" s="10"/>
      <c r="H14" s="10"/>
      <c r="I14" s="10"/>
      <c r="J14" s="10"/>
      <c r="K14" s="10"/>
      <c r="L14" s="10"/>
      <c r="M14" s="21"/>
    </row>
    <row r="15" spans="1:13" x14ac:dyDescent="0.25">
      <c r="B15" s="27" t="s">
        <v>896</v>
      </c>
      <c r="D15" s="10">
        <v>8000</v>
      </c>
      <c r="E15" s="10">
        <v>26854.16</v>
      </c>
      <c r="F15" s="10">
        <v>8000</v>
      </c>
      <c r="G15" s="10">
        <v>41540.160000000003</v>
      </c>
      <c r="H15" s="10">
        <v>30855</v>
      </c>
      <c r="I15" s="10">
        <v>0</v>
      </c>
      <c r="J15" s="10"/>
      <c r="K15" s="10"/>
      <c r="L15" s="10"/>
      <c r="M15" s="47"/>
    </row>
    <row r="16" spans="1:13" x14ac:dyDescent="0.25">
      <c r="B16" s="27" t="s">
        <v>897</v>
      </c>
      <c r="D16" s="10">
        <v>17000</v>
      </c>
      <c r="E16" s="10">
        <v>0</v>
      </c>
      <c r="F16" s="10">
        <v>17000</v>
      </c>
      <c r="G16" s="10">
        <v>13038.33</v>
      </c>
      <c r="H16" s="10">
        <v>30000</v>
      </c>
      <c r="I16" s="10">
        <v>5948.9</v>
      </c>
      <c r="J16" s="10"/>
      <c r="K16" s="10"/>
      <c r="L16" s="10"/>
      <c r="M16" s="39"/>
    </row>
    <row r="17" spans="1:13" x14ac:dyDescent="0.25">
      <c r="B17" s="27" t="s">
        <v>1097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f>22607.45+19144.31</f>
        <v>41751.760000000002</v>
      </c>
      <c r="J17" s="10"/>
      <c r="K17" s="10"/>
      <c r="L17" s="10"/>
      <c r="M17" s="39"/>
    </row>
    <row r="18" spans="1:13" x14ac:dyDescent="0.25">
      <c r="B18" s="27" t="s">
        <v>1122</v>
      </c>
      <c r="D18" s="10">
        <v>0</v>
      </c>
      <c r="E18" s="10">
        <v>0</v>
      </c>
      <c r="F18" s="10">
        <v>25000</v>
      </c>
      <c r="G18" s="10">
        <v>0</v>
      </c>
      <c r="H18" s="10">
        <v>0</v>
      </c>
      <c r="I18" s="10">
        <v>0</v>
      </c>
      <c r="J18" s="10"/>
      <c r="K18" s="10"/>
      <c r="L18" s="10"/>
      <c r="M18" s="39"/>
    </row>
    <row r="19" spans="1:13" x14ac:dyDescent="0.25">
      <c r="B19" s="27" t="s">
        <v>1241</v>
      </c>
      <c r="D19" s="10">
        <v>0</v>
      </c>
      <c r="E19" s="10">
        <v>0</v>
      </c>
      <c r="F19" s="10">
        <v>0</v>
      </c>
      <c r="G19" s="10">
        <v>15688.14</v>
      </c>
      <c r="H19" s="10">
        <v>0</v>
      </c>
      <c r="I19" s="10">
        <v>0</v>
      </c>
      <c r="J19" s="10"/>
      <c r="K19" s="10"/>
      <c r="L19" s="10"/>
      <c r="M19" s="39"/>
    </row>
    <row r="20" spans="1:13" x14ac:dyDescent="0.25">
      <c r="B20" t="s">
        <v>199</v>
      </c>
      <c r="D20" s="10">
        <v>19000</v>
      </c>
      <c r="E20" s="10">
        <v>19225.41</v>
      </c>
      <c r="F20" s="10">
        <v>0</v>
      </c>
      <c r="G20" s="10">
        <v>0</v>
      </c>
      <c r="H20" s="10">
        <v>0</v>
      </c>
      <c r="I20" s="10">
        <v>0</v>
      </c>
      <c r="J20" s="10"/>
      <c r="K20" s="10"/>
      <c r="L20" s="10"/>
      <c r="M20" s="39"/>
    </row>
    <row r="21" spans="1:13" x14ac:dyDescent="0.25">
      <c r="B21" t="s">
        <v>697</v>
      </c>
      <c r="D21" s="10">
        <v>0</v>
      </c>
      <c r="E21" s="10">
        <f>16+65.33</f>
        <v>81.33</v>
      </c>
      <c r="F21" s="10">
        <v>0</v>
      </c>
      <c r="G21" s="10">
        <v>79.97</v>
      </c>
      <c r="H21" s="10">
        <v>0</v>
      </c>
      <c r="I21" s="10">
        <v>64.39</v>
      </c>
      <c r="J21" s="10"/>
      <c r="K21" s="10"/>
      <c r="L21" s="10"/>
      <c r="M21" s="39"/>
    </row>
    <row r="22" spans="1:13" x14ac:dyDescent="0.25">
      <c r="B22" s="27" t="s">
        <v>641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39"/>
    </row>
    <row r="23" spans="1:13" x14ac:dyDescent="0.25">
      <c r="B23" t="s">
        <v>200</v>
      </c>
      <c r="D23" s="10">
        <v>0</v>
      </c>
      <c r="E23" s="10">
        <v>0</v>
      </c>
      <c r="F23" s="10">
        <v>0</v>
      </c>
      <c r="G23" s="10">
        <v>20183.14</v>
      </c>
      <c r="H23" s="10">
        <v>0</v>
      </c>
      <c r="I23" s="10">
        <f>3842.86+764.8</f>
        <v>4607.66</v>
      </c>
      <c r="J23" s="10"/>
      <c r="K23" s="10"/>
      <c r="L23" s="10"/>
      <c r="M23" s="39"/>
    </row>
    <row r="24" spans="1:13" x14ac:dyDescent="0.25">
      <c r="B24" s="27" t="s">
        <v>731</v>
      </c>
      <c r="D24" s="10">
        <v>0</v>
      </c>
      <c r="E24" s="10">
        <v>960.71</v>
      </c>
      <c r="F24" s="10">
        <v>0</v>
      </c>
      <c r="G24" s="10">
        <v>3842.86</v>
      </c>
      <c r="H24" s="10">
        <v>0</v>
      </c>
      <c r="I24" s="10">
        <v>0</v>
      </c>
      <c r="J24" s="10"/>
      <c r="K24" s="10"/>
      <c r="L24" s="10"/>
      <c r="M24" s="39"/>
    </row>
    <row r="25" spans="1:13" x14ac:dyDescent="0.25">
      <c r="B25" s="27" t="s">
        <v>1161</v>
      </c>
      <c r="D25" s="10">
        <v>18472</v>
      </c>
      <c r="E25" s="10">
        <v>0</v>
      </c>
      <c r="F25" s="10">
        <v>8749</v>
      </c>
      <c r="G25" s="10">
        <v>0</v>
      </c>
      <c r="H25" s="10">
        <v>0</v>
      </c>
      <c r="I25" s="10">
        <v>0</v>
      </c>
      <c r="J25" s="10"/>
      <c r="K25" s="10"/>
      <c r="L25" s="10"/>
      <c r="M25" s="39"/>
    </row>
    <row r="26" spans="1:13" x14ac:dyDescent="0.25">
      <c r="B26" s="27"/>
      <c r="D26" s="10"/>
      <c r="E26" s="10"/>
      <c r="F26" s="10"/>
      <c r="G26" s="10"/>
      <c r="H26" s="10"/>
      <c r="I26" s="10"/>
      <c r="J26" s="10"/>
      <c r="K26" s="10"/>
      <c r="L26" s="10"/>
      <c r="M26" s="39"/>
    </row>
    <row r="27" spans="1:13" x14ac:dyDescent="0.25">
      <c r="D27" s="10"/>
      <c r="E27" s="10"/>
      <c r="F27" s="10"/>
      <c r="G27" s="10"/>
      <c r="H27" s="10"/>
      <c r="I27" s="10"/>
      <c r="J27" s="10"/>
      <c r="K27" s="10"/>
      <c r="L27" s="10"/>
      <c r="M27" s="39"/>
    </row>
    <row r="28" spans="1:13" x14ac:dyDescent="0.25">
      <c r="B28" s="25" t="s">
        <v>58</v>
      </c>
      <c r="D28" s="10">
        <f>SUM(D15:D25)</f>
        <v>62472</v>
      </c>
      <c r="E28" s="10">
        <f>SUM(E15:E25)</f>
        <v>47121.61</v>
      </c>
      <c r="F28" s="10">
        <f>SUM(F15:F25)</f>
        <v>58749</v>
      </c>
      <c r="G28" s="10">
        <f>SUM(G15:G27)</f>
        <v>94372.6</v>
      </c>
      <c r="H28" s="10">
        <f>SUM(H15:H27)</f>
        <v>60855</v>
      </c>
      <c r="I28" s="10">
        <f>SUM(I15:I27)</f>
        <v>52372.710000000006</v>
      </c>
    </row>
    <row r="29" spans="1:13" x14ac:dyDescent="0.25">
      <c r="I29" s="22"/>
    </row>
    <row r="32" spans="1:13" x14ac:dyDescent="0.25">
      <c r="A32" t="s">
        <v>1121</v>
      </c>
    </row>
    <row r="33" spans="1:1" x14ac:dyDescent="0.25">
      <c r="A33" s="27" t="s">
        <v>1219</v>
      </c>
    </row>
  </sheetData>
  <pageMargins left="0.7" right="0.7" top="0.75" bottom="0.75" header="0.3" footer="0.3"/>
  <pageSetup orientation="landscape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workbookViewId="0">
      <selection activeCell="I1" sqref="I1:J1048576"/>
    </sheetView>
  </sheetViews>
  <sheetFormatPr defaultRowHeight="13.2" x14ac:dyDescent="0.25"/>
  <cols>
    <col min="1" max="1" width="16.33203125" bestFit="1" customWidth="1"/>
    <col min="2" max="2" width="34.44140625" bestFit="1" customWidth="1"/>
    <col min="3" max="8" width="11.6640625" customWidth="1"/>
  </cols>
  <sheetData>
    <row r="1" spans="1:11" ht="15.6" x14ac:dyDescent="0.3">
      <c r="B1" s="14" t="s">
        <v>733</v>
      </c>
      <c r="C1" s="1">
        <v>2020</v>
      </c>
      <c r="D1" s="1">
        <v>2019</v>
      </c>
      <c r="E1" s="42">
        <v>2019</v>
      </c>
      <c r="F1" s="42">
        <v>2018</v>
      </c>
      <c r="G1" s="42">
        <v>2018</v>
      </c>
      <c r="H1" s="42">
        <v>2017</v>
      </c>
    </row>
    <row r="2" spans="1:11" x14ac:dyDescent="0.25">
      <c r="B2" s="27"/>
      <c r="C2" s="1" t="s">
        <v>506</v>
      </c>
      <c r="D2" s="1" t="s">
        <v>1206</v>
      </c>
      <c r="E2" s="42" t="s">
        <v>506</v>
      </c>
      <c r="F2" s="42" t="s">
        <v>807</v>
      </c>
      <c r="G2" s="42" t="s">
        <v>506</v>
      </c>
      <c r="H2" s="42" t="s">
        <v>807</v>
      </c>
    </row>
    <row r="4" spans="1:11" x14ac:dyDescent="0.25">
      <c r="A4" t="s">
        <v>490</v>
      </c>
    </row>
    <row r="5" spans="1:11" x14ac:dyDescent="0.25">
      <c r="A5" t="s">
        <v>79</v>
      </c>
    </row>
    <row r="7" spans="1:11" x14ac:dyDescent="0.25">
      <c r="A7" s="27"/>
      <c r="B7" t="s">
        <v>194</v>
      </c>
      <c r="C7" s="10">
        <v>30000</v>
      </c>
      <c r="D7" s="10">
        <v>30000</v>
      </c>
      <c r="E7" s="10">
        <v>30000</v>
      </c>
      <c r="F7" s="10">
        <v>30000</v>
      </c>
      <c r="G7" s="10">
        <v>30000</v>
      </c>
      <c r="H7" s="10">
        <v>30000</v>
      </c>
    </row>
    <row r="8" spans="1:11" x14ac:dyDescent="0.25">
      <c r="A8" s="27"/>
      <c r="B8" t="s">
        <v>195</v>
      </c>
      <c r="C8" s="10">
        <f>9150+8865</f>
        <v>18015</v>
      </c>
      <c r="D8" s="10">
        <v>18578</v>
      </c>
      <c r="E8" s="10">
        <v>18577.5</v>
      </c>
      <c r="F8" s="10">
        <v>19524.32</v>
      </c>
      <c r="G8" s="10">
        <v>19035</v>
      </c>
      <c r="H8" s="10">
        <v>18929</v>
      </c>
    </row>
    <row r="9" spans="1:11" x14ac:dyDescent="0.25">
      <c r="B9" t="s">
        <v>196</v>
      </c>
      <c r="C9" s="10">
        <v>495</v>
      </c>
      <c r="D9" s="10">
        <v>495</v>
      </c>
      <c r="E9" s="10">
        <v>495</v>
      </c>
      <c r="F9" s="10">
        <v>495</v>
      </c>
      <c r="G9" s="10">
        <v>500</v>
      </c>
      <c r="H9" s="10">
        <v>495</v>
      </c>
    </row>
    <row r="10" spans="1:11" x14ac:dyDescent="0.25">
      <c r="B10" t="s">
        <v>197</v>
      </c>
      <c r="C10" s="10">
        <v>0</v>
      </c>
      <c r="D10" s="10">
        <v>0</v>
      </c>
      <c r="E10" s="10"/>
      <c r="F10" s="10">
        <v>0</v>
      </c>
      <c r="G10" s="10">
        <v>0</v>
      </c>
      <c r="H10" s="10"/>
    </row>
    <row r="11" spans="1:11" x14ac:dyDescent="0.25">
      <c r="C11" s="10"/>
      <c r="D11" s="10"/>
      <c r="E11" s="10"/>
      <c r="F11" s="10"/>
      <c r="G11" s="10"/>
      <c r="H11" s="10"/>
    </row>
    <row r="12" spans="1:11" x14ac:dyDescent="0.25">
      <c r="B12" s="25" t="s">
        <v>58</v>
      </c>
      <c r="C12" s="24">
        <f>SUM(C7:C10)</f>
        <v>48510</v>
      </c>
      <c r="D12" s="24">
        <f>SUM(D7:D10)</f>
        <v>49073</v>
      </c>
      <c r="E12" s="24">
        <f>SUM(E7:E10)</f>
        <v>49072.5</v>
      </c>
      <c r="F12" s="24">
        <f>SUM(F7:F11)</f>
        <v>50019.32</v>
      </c>
      <c r="G12" s="24">
        <f>SUM(G7:G10)</f>
        <v>49535</v>
      </c>
      <c r="H12" s="24">
        <f>SUM(H7:H10)</f>
        <v>49424</v>
      </c>
    </row>
    <row r="13" spans="1:11" x14ac:dyDescent="0.25">
      <c r="C13" s="10"/>
      <c r="D13" s="10"/>
      <c r="F13" s="10"/>
      <c r="G13" s="10"/>
      <c r="H13" s="10"/>
      <c r="K13" s="28"/>
    </row>
    <row r="14" spans="1:11" x14ac:dyDescent="0.25">
      <c r="A14" t="s">
        <v>78</v>
      </c>
      <c r="C14" s="10"/>
      <c r="D14" s="10"/>
      <c r="F14" s="10"/>
      <c r="G14" s="10"/>
      <c r="H14" s="10"/>
      <c r="K14" s="28"/>
    </row>
    <row r="15" spans="1:11" x14ac:dyDescent="0.25">
      <c r="B15" t="s">
        <v>198</v>
      </c>
      <c r="C15" s="10">
        <v>24750</v>
      </c>
      <c r="D15" s="10">
        <v>13666.72</v>
      </c>
      <c r="E15" s="10">
        <v>24750</v>
      </c>
      <c r="F15" s="10">
        <v>14226.52</v>
      </c>
      <c r="G15" s="10">
        <v>24750</v>
      </c>
      <c r="H15" s="10">
        <v>0</v>
      </c>
    </row>
    <row r="16" spans="1:11" x14ac:dyDescent="0.25">
      <c r="B16" s="27" t="s">
        <v>731</v>
      </c>
      <c r="C16" s="57">
        <v>7300</v>
      </c>
      <c r="D16" s="57">
        <v>3971.79</v>
      </c>
      <c r="E16" s="57">
        <v>7300</v>
      </c>
      <c r="F16" s="57">
        <v>6765.86</v>
      </c>
      <c r="G16" s="57">
        <v>7300</v>
      </c>
      <c r="H16" s="57">
        <v>7007.85</v>
      </c>
    </row>
    <row r="17" spans="1:8" x14ac:dyDescent="0.25">
      <c r="B17" s="27" t="s">
        <v>467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25144.94</v>
      </c>
    </row>
    <row r="18" spans="1:8" x14ac:dyDescent="0.25">
      <c r="B18" s="27" t="s">
        <v>854</v>
      </c>
      <c r="C18" s="57">
        <v>1500</v>
      </c>
      <c r="D18" s="57">
        <v>1135.99</v>
      </c>
      <c r="E18" s="57">
        <v>500</v>
      </c>
      <c r="F18" s="57">
        <v>532.97</v>
      </c>
      <c r="G18" s="57">
        <v>0</v>
      </c>
      <c r="H18" s="57">
        <v>928</v>
      </c>
    </row>
    <row r="19" spans="1:8" x14ac:dyDescent="0.25">
      <c r="B19" s="27" t="s">
        <v>953</v>
      </c>
      <c r="C19" s="57">
        <v>14960</v>
      </c>
      <c r="D19" s="57">
        <v>0</v>
      </c>
      <c r="E19" s="57">
        <v>16523</v>
      </c>
      <c r="F19" s="57">
        <v>0</v>
      </c>
      <c r="G19" s="57">
        <v>17485</v>
      </c>
      <c r="H19" s="57">
        <v>0</v>
      </c>
    </row>
    <row r="20" spans="1:8" x14ac:dyDescent="0.25">
      <c r="B20" s="27" t="s">
        <v>734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</row>
    <row r="21" spans="1:8" x14ac:dyDescent="0.25">
      <c r="B21" s="27" t="s">
        <v>735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</row>
    <row r="22" spans="1:8" x14ac:dyDescent="0.25">
      <c r="C22" s="10"/>
      <c r="D22" s="10"/>
      <c r="E22" s="10"/>
      <c r="F22" s="10"/>
      <c r="G22" s="10"/>
      <c r="H22" s="10"/>
    </row>
    <row r="23" spans="1:8" x14ac:dyDescent="0.25">
      <c r="B23" s="25" t="s">
        <v>58</v>
      </c>
      <c r="C23" s="24">
        <f>SUM(C15:C21)</f>
        <v>48510</v>
      </c>
      <c r="D23" s="24">
        <f>SUM(D15:D21)</f>
        <v>18774.5</v>
      </c>
      <c r="E23" s="24">
        <f>SUM(E15:E21)</f>
        <v>49073</v>
      </c>
      <c r="F23" s="24">
        <f>SUM(F15:F22)</f>
        <v>21525.350000000002</v>
      </c>
      <c r="G23" s="24">
        <f>SUM(G15:G21)</f>
        <v>49535</v>
      </c>
      <c r="H23" s="24">
        <f>SUM(H15:H21)</f>
        <v>33080.79</v>
      </c>
    </row>
    <row r="26" spans="1:8" x14ac:dyDescent="0.25">
      <c r="A26" s="27" t="s">
        <v>739</v>
      </c>
    </row>
    <row r="27" spans="1:8" x14ac:dyDescent="0.25">
      <c r="A27" s="27" t="s">
        <v>736</v>
      </c>
    </row>
    <row r="28" spans="1:8" x14ac:dyDescent="0.25">
      <c r="A28" s="27" t="s">
        <v>737</v>
      </c>
    </row>
    <row r="29" spans="1:8" x14ac:dyDescent="0.25">
      <c r="A29" s="27" t="s">
        <v>738</v>
      </c>
    </row>
    <row r="31" spans="1:8" x14ac:dyDescent="0.25">
      <c r="A31" s="27" t="s">
        <v>954</v>
      </c>
    </row>
    <row r="32" spans="1:8" x14ac:dyDescent="0.25">
      <c r="A32" s="27" t="s">
        <v>1159</v>
      </c>
    </row>
  </sheetData>
  <pageMargins left="0.7" right="0.7" top="0.75" bottom="0.75" header="0.3" footer="0.3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D36" sqref="D36"/>
    </sheetView>
  </sheetViews>
  <sheetFormatPr defaultRowHeight="13.2" x14ac:dyDescent="0.25"/>
  <cols>
    <col min="1" max="1" width="18.33203125" customWidth="1"/>
    <col min="2" max="2" width="27.44140625" customWidth="1"/>
    <col min="3" max="3" width="11.6640625" customWidth="1"/>
    <col min="4" max="4" width="11.88671875" customWidth="1"/>
    <col min="5" max="9" width="11.6640625" customWidth="1"/>
  </cols>
  <sheetData>
    <row r="1" spans="1:11" ht="15.6" x14ac:dyDescent="0.3">
      <c r="B1" s="14" t="s">
        <v>481</v>
      </c>
      <c r="C1" s="1">
        <v>2020</v>
      </c>
      <c r="D1" s="1">
        <v>2019</v>
      </c>
      <c r="E1" s="42">
        <v>2019</v>
      </c>
      <c r="F1" s="42">
        <v>2018</v>
      </c>
      <c r="G1" s="42">
        <v>2018</v>
      </c>
      <c r="H1" s="42">
        <v>2017</v>
      </c>
      <c r="I1" s="42">
        <v>2016</v>
      </c>
    </row>
    <row r="2" spans="1:11" x14ac:dyDescent="0.25">
      <c r="A2" t="s">
        <v>79</v>
      </c>
      <c r="C2" s="1" t="s">
        <v>506</v>
      </c>
      <c r="D2" s="1" t="s">
        <v>1206</v>
      </c>
      <c r="E2" s="42" t="s">
        <v>506</v>
      </c>
      <c r="F2" s="42" t="s">
        <v>807</v>
      </c>
      <c r="G2" s="42" t="s">
        <v>506</v>
      </c>
      <c r="H2" s="42" t="s">
        <v>807</v>
      </c>
      <c r="I2" s="42" t="s">
        <v>807</v>
      </c>
    </row>
    <row r="3" spans="1:11" x14ac:dyDescent="0.25">
      <c r="A3" t="s">
        <v>192</v>
      </c>
      <c r="C3" s="10"/>
      <c r="D3" s="10"/>
      <c r="I3" s="10"/>
    </row>
    <row r="4" spans="1:11" x14ac:dyDescent="0.25">
      <c r="A4" t="s">
        <v>80</v>
      </c>
      <c r="B4" t="s">
        <v>100</v>
      </c>
      <c r="C4" s="10">
        <v>8000</v>
      </c>
      <c r="D4" s="10">
        <v>8000</v>
      </c>
      <c r="E4" s="10">
        <v>8000</v>
      </c>
      <c r="F4" s="10">
        <v>5500</v>
      </c>
      <c r="G4" s="10">
        <v>5500</v>
      </c>
      <c r="H4" s="10">
        <v>5500</v>
      </c>
      <c r="I4" s="10">
        <v>5500</v>
      </c>
    </row>
    <row r="5" spans="1:11" x14ac:dyDescent="0.25">
      <c r="A5" t="s">
        <v>484</v>
      </c>
      <c r="C5" s="10"/>
      <c r="D5" s="10"/>
      <c r="E5" s="10"/>
      <c r="F5" s="10"/>
      <c r="G5" s="10"/>
      <c r="H5" s="10"/>
      <c r="I5" s="10"/>
    </row>
    <row r="6" spans="1:11" x14ac:dyDescent="0.25">
      <c r="A6" t="s">
        <v>81</v>
      </c>
      <c r="B6" t="s">
        <v>82</v>
      </c>
      <c r="C6" s="10">
        <v>496</v>
      </c>
      <c r="D6" s="10">
        <v>496</v>
      </c>
      <c r="E6" s="10">
        <f>0.062*E4</f>
        <v>496</v>
      </c>
      <c r="F6" s="10">
        <v>341</v>
      </c>
      <c r="G6" s="10">
        <v>341</v>
      </c>
      <c r="H6" s="10">
        <v>341</v>
      </c>
      <c r="I6" s="10">
        <v>341</v>
      </c>
    </row>
    <row r="7" spans="1:11" x14ac:dyDescent="0.25">
      <c r="A7" t="s">
        <v>83</v>
      </c>
      <c r="B7" t="s">
        <v>84</v>
      </c>
      <c r="C7" s="10">
        <v>116</v>
      </c>
      <c r="D7" s="10">
        <v>116.04</v>
      </c>
      <c r="E7" s="10">
        <f>0.0145*E4</f>
        <v>116</v>
      </c>
      <c r="F7" s="10">
        <v>79.760000000000005</v>
      </c>
      <c r="G7" s="10">
        <v>40</v>
      </c>
      <c r="H7" s="10">
        <v>79.760000000000005</v>
      </c>
      <c r="I7" s="10">
        <v>79.760000000000005</v>
      </c>
    </row>
    <row r="8" spans="1:11" x14ac:dyDescent="0.25">
      <c r="A8" t="s">
        <v>43</v>
      </c>
      <c r="C8" s="10"/>
      <c r="D8" s="10"/>
      <c r="E8" s="10"/>
      <c r="F8" s="10"/>
      <c r="G8" s="10"/>
      <c r="H8" s="10"/>
      <c r="I8" s="10"/>
    </row>
    <row r="9" spans="1:11" x14ac:dyDescent="0.25">
      <c r="A9" t="s">
        <v>59</v>
      </c>
      <c r="B9" t="s">
        <v>485</v>
      </c>
      <c r="C9" s="10">
        <v>100</v>
      </c>
      <c r="D9" s="10">
        <v>83</v>
      </c>
      <c r="E9" s="10">
        <v>100</v>
      </c>
      <c r="F9" s="10">
        <v>89.16</v>
      </c>
      <c r="G9" s="10">
        <v>100</v>
      </c>
      <c r="H9" s="10">
        <v>89.55</v>
      </c>
      <c r="I9" s="10">
        <v>77</v>
      </c>
      <c r="K9" s="6"/>
    </row>
    <row r="10" spans="1:11" x14ac:dyDescent="0.25">
      <c r="A10" s="27" t="s">
        <v>599</v>
      </c>
      <c r="B10" s="13"/>
      <c r="C10" s="21"/>
      <c r="D10" s="21"/>
      <c r="E10" s="21"/>
      <c r="F10" s="21"/>
      <c r="G10" s="21"/>
      <c r="H10" s="21"/>
      <c r="I10" s="21"/>
    </row>
    <row r="11" spans="1:11" x14ac:dyDescent="0.25">
      <c r="A11" s="27" t="s">
        <v>637</v>
      </c>
      <c r="B11" s="27" t="s">
        <v>12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/>
    </row>
    <row r="12" spans="1:11" x14ac:dyDescent="0.25">
      <c r="A12" s="27" t="s">
        <v>1026</v>
      </c>
      <c r="B12" s="27" t="s">
        <v>1027</v>
      </c>
      <c r="C12" s="57">
        <v>0</v>
      </c>
      <c r="D12" s="57">
        <v>345.79</v>
      </c>
      <c r="E12" s="57">
        <v>0</v>
      </c>
      <c r="F12" s="57">
        <v>0</v>
      </c>
      <c r="G12" s="57">
        <v>0</v>
      </c>
      <c r="H12" s="57">
        <f>61.38+1863.11</f>
        <v>1924.49</v>
      </c>
      <c r="I12" s="57">
        <v>0</v>
      </c>
    </row>
    <row r="13" spans="1:11" x14ac:dyDescent="0.25">
      <c r="A13" s="13" t="s">
        <v>138</v>
      </c>
      <c r="C13" s="10"/>
      <c r="D13" s="10"/>
      <c r="E13" s="10"/>
      <c r="F13" s="10"/>
      <c r="G13" s="10"/>
      <c r="H13" s="10"/>
      <c r="I13" s="10"/>
    </row>
    <row r="14" spans="1:11" x14ac:dyDescent="0.25">
      <c r="A14" s="13" t="s">
        <v>534</v>
      </c>
      <c r="B14" s="13" t="s">
        <v>139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/>
    </row>
    <row r="15" spans="1:11" x14ac:dyDescent="0.25">
      <c r="A15" t="s">
        <v>128</v>
      </c>
      <c r="C15" s="10"/>
      <c r="D15" s="10"/>
      <c r="E15" s="10"/>
      <c r="F15" s="10"/>
      <c r="G15" s="10"/>
      <c r="H15" s="10"/>
      <c r="I15" s="10"/>
    </row>
    <row r="16" spans="1:11" x14ac:dyDescent="0.25">
      <c r="A16" t="s">
        <v>85</v>
      </c>
      <c r="B16" t="s">
        <v>86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/>
    </row>
    <row r="17" spans="1:9" x14ac:dyDescent="0.25">
      <c r="A17" t="s">
        <v>107</v>
      </c>
      <c r="C17" s="10"/>
      <c r="D17" s="10"/>
      <c r="E17" s="10"/>
      <c r="F17" s="10"/>
      <c r="G17" s="10"/>
      <c r="H17" s="10"/>
      <c r="I17" s="10"/>
    </row>
    <row r="18" spans="1:9" x14ac:dyDescent="0.25">
      <c r="A18" t="s">
        <v>87</v>
      </c>
      <c r="B18" t="s">
        <v>93</v>
      </c>
      <c r="C18" s="10">
        <v>50</v>
      </c>
      <c r="D18" s="10">
        <v>30</v>
      </c>
      <c r="E18" s="10">
        <v>50</v>
      </c>
      <c r="F18" s="10">
        <v>30</v>
      </c>
      <c r="G18" s="10">
        <v>50</v>
      </c>
      <c r="H18" s="10">
        <v>30</v>
      </c>
      <c r="I18" s="10">
        <v>30</v>
      </c>
    </row>
    <row r="19" spans="1:9" x14ac:dyDescent="0.25">
      <c r="A19" s="13" t="s">
        <v>513</v>
      </c>
      <c r="B19" t="s">
        <v>830</v>
      </c>
      <c r="C19" s="10">
        <v>1000</v>
      </c>
      <c r="D19" s="10">
        <v>0</v>
      </c>
      <c r="E19" s="10">
        <v>1000</v>
      </c>
      <c r="F19" s="10">
        <v>45</v>
      </c>
      <c r="G19" s="10">
        <v>1000</v>
      </c>
      <c r="H19" s="10">
        <v>300</v>
      </c>
      <c r="I19" s="10">
        <v>45</v>
      </c>
    </row>
    <row r="20" spans="1:9" x14ac:dyDescent="0.25">
      <c r="A20" t="s">
        <v>88</v>
      </c>
      <c r="B20" t="s">
        <v>94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</row>
    <row r="21" spans="1:9" x14ac:dyDescent="0.25">
      <c r="A21" s="13" t="s">
        <v>533</v>
      </c>
      <c r="B21" s="13" t="s">
        <v>574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/>
    </row>
    <row r="22" spans="1:9" x14ac:dyDescent="0.25">
      <c r="A22" s="13"/>
      <c r="B22" s="30" t="s">
        <v>718</v>
      </c>
      <c r="C22" s="112">
        <v>2500</v>
      </c>
      <c r="D22" s="112">
        <v>2500</v>
      </c>
      <c r="E22" s="112">
        <v>2500</v>
      </c>
      <c r="F22" s="112">
        <v>2500</v>
      </c>
      <c r="G22" s="112">
        <v>2500</v>
      </c>
      <c r="H22" s="112">
        <v>0</v>
      </c>
      <c r="I22" s="112">
        <v>2500</v>
      </c>
    </row>
    <row r="23" spans="1:9" x14ac:dyDescent="0.25">
      <c r="A23" s="13"/>
      <c r="B23" s="30" t="s">
        <v>755</v>
      </c>
      <c r="C23" s="112">
        <v>1000</v>
      </c>
      <c r="D23" s="112">
        <v>1000</v>
      </c>
      <c r="E23" s="112">
        <v>1000</v>
      </c>
      <c r="F23" s="112">
        <v>1000</v>
      </c>
      <c r="G23" s="138">
        <v>1000</v>
      </c>
      <c r="H23" s="112">
        <v>500</v>
      </c>
      <c r="I23" s="112">
        <v>3500</v>
      </c>
    </row>
    <row r="24" spans="1:9" x14ac:dyDescent="0.25">
      <c r="A24" s="13"/>
      <c r="B24" s="30" t="s">
        <v>719</v>
      </c>
      <c r="C24" s="112">
        <v>1000</v>
      </c>
      <c r="D24" s="112">
        <v>1000</v>
      </c>
      <c r="E24" s="112">
        <v>1000</v>
      </c>
      <c r="F24" s="112">
        <v>1000</v>
      </c>
      <c r="G24" s="138">
        <v>1000</v>
      </c>
      <c r="H24" s="112">
        <v>1000</v>
      </c>
      <c r="I24" s="112">
        <v>1000</v>
      </c>
    </row>
    <row r="25" spans="1:9" x14ac:dyDescent="0.25">
      <c r="A25" s="147"/>
      <c r="B25" s="30" t="s">
        <v>720</v>
      </c>
      <c r="C25" s="112">
        <v>900</v>
      </c>
      <c r="D25" s="112">
        <v>900</v>
      </c>
      <c r="E25" s="112">
        <v>900</v>
      </c>
      <c r="F25" s="112">
        <v>900</v>
      </c>
      <c r="G25" s="112">
        <v>900</v>
      </c>
      <c r="H25" s="112">
        <v>900</v>
      </c>
      <c r="I25" s="112">
        <v>900</v>
      </c>
    </row>
    <row r="26" spans="1:9" x14ac:dyDescent="0.25">
      <c r="A26" s="13"/>
      <c r="B26" s="30" t="s">
        <v>890</v>
      </c>
      <c r="C26" s="112">
        <v>1500</v>
      </c>
      <c r="D26" s="112">
        <v>1500</v>
      </c>
      <c r="E26" s="112">
        <v>1500</v>
      </c>
      <c r="F26" s="112">
        <v>1500</v>
      </c>
      <c r="G26" s="112">
        <v>1500</v>
      </c>
      <c r="H26" s="112">
        <v>1500</v>
      </c>
      <c r="I26" s="112">
        <v>1500</v>
      </c>
    </row>
    <row r="27" spans="1:9" x14ac:dyDescent="0.25">
      <c r="A27" s="13"/>
      <c r="B27" s="30" t="s">
        <v>903</v>
      </c>
      <c r="C27" s="112">
        <v>0</v>
      </c>
      <c r="D27" s="112">
        <v>0</v>
      </c>
      <c r="E27" s="112">
        <v>0</v>
      </c>
      <c r="F27" s="112">
        <v>0</v>
      </c>
      <c r="G27" s="138">
        <v>1000</v>
      </c>
      <c r="H27" s="112">
        <v>0</v>
      </c>
      <c r="I27" s="21">
        <v>950</v>
      </c>
    </row>
    <row r="28" spans="1:9" x14ac:dyDescent="0.25">
      <c r="A28" s="33"/>
      <c r="B28" s="24" t="s">
        <v>58</v>
      </c>
      <c r="C28" s="24">
        <f>SUM(C4:C27)</f>
        <v>16662</v>
      </c>
      <c r="D28" s="24">
        <f>SUM(D4:D27)</f>
        <v>15970.830000000002</v>
      </c>
      <c r="E28" s="24">
        <f>SUM(E4:E27)</f>
        <v>16662</v>
      </c>
      <c r="F28" s="24">
        <f>SUM(F4:F27)</f>
        <v>12984.92</v>
      </c>
      <c r="G28" s="24">
        <f t="shared" ref="G28:I28" si="0">SUM(G4:G27)</f>
        <v>14931</v>
      </c>
      <c r="H28" s="24">
        <f t="shared" si="0"/>
        <v>12164.8</v>
      </c>
      <c r="I28" s="24">
        <f t="shared" si="0"/>
        <v>16422.760000000002</v>
      </c>
    </row>
    <row r="29" spans="1:9" x14ac:dyDescent="0.25">
      <c r="A29" s="40"/>
      <c r="I29" s="10"/>
    </row>
    <row r="30" spans="1:9" x14ac:dyDescent="0.25">
      <c r="A30" s="33"/>
      <c r="I30" s="10"/>
    </row>
    <row r="31" spans="1:9" x14ac:dyDescent="0.25">
      <c r="A31" t="s">
        <v>829</v>
      </c>
    </row>
    <row r="34" spans="1:3" x14ac:dyDescent="0.25">
      <c r="A34" s="28"/>
    </row>
    <row r="36" spans="1:3" x14ac:dyDescent="0.25">
      <c r="C36" s="22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topLeftCell="A13" workbookViewId="0">
      <selection activeCell="A24" sqref="A24"/>
    </sheetView>
  </sheetViews>
  <sheetFormatPr defaultRowHeight="13.2" x14ac:dyDescent="0.25"/>
  <cols>
    <col min="1" max="1" width="26.44140625" customWidth="1"/>
    <col min="2" max="2" width="35.33203125" bestFit="1" customWidth="1"/>
    <col min="3" max="3" width="3.109375" customWidth="1"/>
    <col min="4" max="6" width="11.6640625" customWidth="1"/>
    <col min="7" max="7" width="11.88671875" customWidth="1"/>
    <col min="8" max="8" width="11.6640625" customWidth="1"/>
  </cols>
  <sheetData>
    <row r="1" spans="1:8" ht="15.6" x14ac:dyDescent="0.3">
      <c r="B1" s="14" t="s">
        <v>908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</row>
    <row r="2" spans="1:8" ht="15.6" x14ac:dyDescent="0.3">
      <c r="B2" s="14"/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</row>
    <row r="3" spans="1:8" x14ac:dyDescent="0.25">
      <c r="A3" t="s">
        <v>78</v>
      </c>
    </row>
    <row r="4" spans="1:8" x14ac:dyDescent="0.25">
      <c r="A4" t="s">
        <v>1111</v>
      </c>
      <c r="B4" t="s">
        <v>667</v>
      </c>
      <c r="D4" s="10">
        <v>2500</v>
      </c>
      <c r="E4" s="10">
        <v>0</v>
      </c>
      <c r="F4" s="10">
        <v>0</v>
      </c>
      <c r="G4" s="10">
        <v>0</v>
      </c>
      <c r="H4" s="10">
        <v>0</v>
      </c>
    </row>
    <row r="5" spans="1:8" x14ac:dyDescent="0.25">
      <c r="A5" t="s">
        <v>909</v>
      </c>
      <c r="B5" t="s">
        <v>686</v>
      </c>
      <c r="D5" s="10">
        <v>100</v>
      </c>
      <c r="E5" s="10">
        <v>68.56</v>
      </c>
      <c r="F5" s="10">
        <v>100</v>
      </c>
      <c r="G5" s="10">
        <v>129.69999999999999</v>
      </c>
      <c r="H5" s="10">
        <v>80</v>
      </c>
    </row>
    <row r="6" spans="1:8" x14ac:dyDescent="0.25">
      <c r="A6" s="27" t="s">
        <v>910</v>
      </c>
      <c r="B6" s="27" t="s">
        <v>39</v>
      </c>
      <c r="D6" s="10">
        <v>0</v>
      </c>
      <c r="E6" s="10">
        <v>0</v>
      </c>
      <c r="F6" s="10">
        <v>0</v>
      </c>
      <c r="G6" s="10">
        <v>2485</v>
      </c>
      <c r="H6" s="10">
        <v>6600</v>
      </c>
    </row>
    <row r="7" spans="1:8" x14ac:dyDescent="0.25">
      <c r="A7" s="27" t="s">
        <v>936</v>
      </c>
      <c r="B7" s="27" t="s">
        <v>937</v>
      </c>
      <c r="D7" s="10">
        <v>8500</v>
      </c>
      <c r="E7" s="10"/>
      <c r="F7" s="10">
        <v>15000</v>
      </c>
      <c r="G7" s="10">
        <v>38881.65</v>
      </c>
      <c r="H7" s="10">
        <v>9000</v>
      </c>
    </row>
    <row r="8" spans="1:8" x14ac:dyDescent="0.25">
      <c r="A8" s="27" t="s">
        <v>938</v>
      </c>
      <c r="B8" s="27" t="s">
        <v>939</v>
      </c>
      <c r="D8" s="10">
        <v>0</v>
      </c>
      <c r="E8" s="10">
        <v>8600</v>
      </c>
      <c r="F8" s="10">
        <v>0</v>
      </c>
      <c r="G8" s="10">
        <v>7000</v>
      </c>
      <c r="H8" s="10">
        <v>5000</v>
      </c>
    </row>
    <row r="9" spans="1:8" x14ac:dyDescent="0.25">
      <c r="A9" s="27" t="s">
        <v>1112</v>
      </c>
      <c r="B9" s="27" t="s">
        <v>794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x14ac:dyDescent="0.25">
      <c r="A10" s="27" t="s">
        <v>911</v>
      </c>
      <c r="B10" s="27" t="s">
        <v>912</v>
      </c>
      <c r="D10" s="10">
        <v>75000</v>
      </c>
      <c r="E10" s="10">
        <v>58500</v>
      </c>
      <c r="F10" s="10">
        <v>58500</v>
      </c>
      <c r="G10" s="10">
        <v>53500</v>
      </c>
      <c r="H10" s="10">
        <v>53500</v>
      </c>
    </row>
    <row r="11" spans="1:8" x14ac:dyDescent="0.25">
      <c r="D11" s="10"/>
      <c r="E11" s="10"/>
      <c r="F11" s="10"/>
      <c r="G11" s="10"/>
      <c r="H11" s="10"/>
    </row>
    <row r="12" spans="1:8" x14ac:dyDescent="0.25">
      <c r="B12" s="25" t="s">
        <v>58</v>
      </c>
      <c r="D12" s="10">
        <f>SUM(D4:D10)</f>
        <v>86100</v>
      </c>
      <c r="E12" s="10">
        <f>SUM(E4:E10)</f>
        <v>67168.56</v>
      </c>
      <c r="F12" s="10">
        <f>SUM(F4:F10)</f>
        <v>73600</v>
      </c>
      <c r="G12" s="10">
        <f>SUM(G4:G11)</f>
        <v>101996.35</v>
      </c>
      <c r="H12" s="10">
        <f>SUM(H4:H11)</f>
        <v>74180</v>
      </c>
    </row>
    <row r="13" spans="1:8" x14ac:dyDescent="0.25">
      <c r="A13" t="s">
        <v>79</v>
      </c>
      <c r="D13" s="10"/>
      <c r="E13" s="10"/>
      <c r="F13" s="10"/>
      <c r="H13" s="10"/>
    </row>
    <row r="14" spans="1:8" x14ac:dyDescent="0.25">
      <c r="A14" t="s">
        <v>192</v>
      </c>
      <c r="D14" s="10"/>
      <c r="E14" s="10"/>
      <c r="F14" s="10"/>
      <c r="H14" s="10"/>
    </row>
    <row r="15" spans="1:8" x14ac:dyDescent="0.25">
      <c r="A15" t="s">
        <v>1034</v>
      </c>
      <c r="B15" t="s">
        <v>1035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x14ac:dyDescent="0.25">
      <c r="A16" t="s">
        <v>1036</v>
      </c>
      <c r="B16" t="s">
        <v>190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25">
      <c r="A17" t="s">
        <v>1037</v>
      </c>
      <c r="B17" t="s">
        <v>82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x14ac:dyDescent="0.25">
      <c r="A18" t="s">
        <v>1038</v>
      </c>
      <c r="B18" t="s">
        <v>84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 x14ac:dyDescent="0.25">
      <c r="A19" t="s">
        <v>23</v>
      </c>
      <c r="D19" s="10"/>
      <c r="E19" s="10"/>
      <c r="F19" s="10"/>
      <c r="G19" s="10"/>
      <c r="H19" s="10"/>
    </row>
    <row r="20" spans="1:8" x14ac:dyDescent="0.25">
      <c r="A20" t="s">
        <v>927</v>
      </c>
      <c r="B20" t="s">
        <v>141</v>
      </c>
      <c r="D20" s="10">
        <v>75</v>
      </c>
      <c r="E20" s="10">
        <v>2.39</v>
      </c>
      <c r="F20" s="10">
        <v>75</v>
      </c>
      <c r="G20" s="10">
        <v>75</v>
      </c>
      <c r="H20" s="10">
        <v>50</v>
      </c>
    </row>
    <row r="21" spans="1:8" x14ac:dyDescent="0.25">
      <c r="A21" t="s">
        <v>1039</v>
      </c>
      <c r="B21" t="s">
        <v>1040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x14ac:dyDescent="0.25">
      <c r="A22" t="s">
        <v>6</v>
      </c>
      <c r="D22" s="10"/>
      <c r="E22" s="10"/>
      <c r="F22" s="10"/>
      <c r="G22" s="10"/>
      <c r="H22" s="10"/>
    </row>
    <row r="23" spans="1:8" x14ac:dyDescent="0.25">
      <c r="A23" t="s">
        <v>940</v>
      </c>
      <c r="B23" t="s">
        <v>12</v>
      </c>
      <c r="D23" s="10">
        <v>1500</v>
      </c>
      <c r="E23" s="10">
        <v>449.5</v>
      </c>
      <c r="F23" s="10">
        <v>1500</v>
      </c>
      <c r="G23" s="10">
        <v>783</v>
      </c>
      <c r="H23" s="10">
        <v>0</v>
      </c>
    </row>
    <row r="24" spans="1:8" x14ac:dyDescent="0.25">
      <c r="A24" t="s">
        <v>928</v>
      </c>
      <c r="B24" s="27" t="s">
        <v>94</v>
      </c>
      <c r="D24" s="10">
        <v>68000</v>
      </c>
      <c r="E24" s="10">
        <v>68409.16</v>
      </c>
      <c r="F24" s="10">
        <v>65000</v>
      </c>
      <c r="G24" s="10">
        <v>68735.25</v>
      </c>
      <c r="H24" s="10">
        <v>63900</v>
      </c>
    </row>
    <row r="25" spans="1:8" x14ac:dyDescent="0.25">
      <c r="A25" t="s">
        <v>941</v>
      </c>
      <c r="B25" s="27" t="s">
        <v>90</v>
      </c>
      <c r="D25" s="10">
        <v>100</v>
      </c>
      <c r="E25" s="10">
        <v>0</v>
      </c>
      <c r="F25" s="10">
        <v>100</v>
      </c>
      <c r="G25" s="10">
        <v>33.5</v>
      </c>
      <c r="H25" s="10">
        <v>50</v>
      </c>
    </row>
    <row r="26" spans="1:8" x14ac:dyDescent="0.25">
      <c r="A26" t="s">
        <v>135</v>
      </c>
      <c r="B26" s="27"/>
      <c r="D26" s="10"/>
      <c r="E26" s="10"/>
      <c r="F26" s="10"/>
      <c r="G26" s="10"/>
      <c r="H26" s="10"/>
    </row>
    <row r="27" spans="1:8" x14ac:dyDescent="0.25">
      <c r="A27" t="s">
        <v>1113</v>
      </c>
      <c r="B27" s="27" t="s">
        <v>1114</v>
      </c>
      <c r="D27" s="10">
        <v>100</v>
      </c>
      <c r="E27" s="10">
        <v>74.7</v>
      </c>
      <c r="F27" s="10">
        <v>100</v>
      </c>
      <c r="G27" s="10">
        <v>134</v>
      </c>
      <c r="H27" s="10">
        <v>0</v>
      </c>
    </row>
    <row r="28" spans="1:8" x14ac:dyDescent="0.25">
      <c r="A28" t="s">
        <v>128</v>
      </c>
      <c r="D28" s="10"/>
      <c r="E28" s="10"/>
      <c r="F28" s="10"/>
      <c r="G28" s="10"/>
      <c r="H28" s="10"/>
    </row>
    <row r="29" spans="1:8" x14ac:dyDescent="0.25">
      <c r="A29" t="s">
        <v>929</v>
      </c>
      <c r="B29" t="s">
        <v>130</v>
      </c>
      <c r="D29" s="10">
        <v>800</v>
      </c>
      <c r="E29" s="10">
        <v>119</v>
      </c>
      <c r="F29" s="10">
        <v>800</v>
      </c>
      <c r="G29" s="10">
        <v>827</v>
      </c>
      <c r="H29" s="10">
        <v>700</v>
      </c>
    </row>
    <row r="30" spans="1:8" x14ac:dyDescent="0.25">
      <c r="A30" t="s">
        <v>921</v>
      </c>
      <c r="D30" s="10"/>
      <c r="E30" s="10"/>
      <c r="F30" s="10"/>
      <c r="G30" s="10"/>
      <c r="H30" s="10"/>
    </row>
    <row r="31" spans="1:8" x14ac:dyDescent="0.25">
      <c r="A31" t="s">
        <v>955</v>
      </c>
      <c r="B31" t="s">
        <v>956</v>
      </c>
      <c r="D31" s="10">
        <v>3500</v>
      </c>
      <c r="E31" s="10">
        <v>3180</v>
      </c>
      <c r="F31" s="10">
        <v>3500</v>
      </c>
      <c r="G31" s="10">
        <v>3850</v>
      </c>
      <c r="H31" s="10">
        <v>3543</v>
      </c>
    </row>
    <row r="32" spans="1:8" x14ac:dyDescent="0.25">
      <c r="A32" t="s">
        <v>121</v>
      </c>
      <c r="D32" s="10"/>
      <c r="E32" s="10"/>
      <c r="F32" s="10"/>
      <c r="G32" s="10"/>
      <c r="H32" s="10"/>
    </row>
    <row r="33" spans="1:11" x14ac:dyDescent="0.25">
      <c r="A33" t="s">
        <v>930</v>
      </c>
      <c r="B33" t="s">
        <v>122</v>
      </c>
      <c r="D33" s="10">
        <v>0</v>
      </c>
      <c r="E33" s="10">
        <v>0</v>
      </c>
      <c r="F33" s="10">
        <v>0</v>
      </c>
      <c r="G33" s="10">
        <v>198.58</v>
      </c>
      <c r="H33" s="10">
        <v>500</v>
      </c>
    </row>
    <row r="34" spans="1:11" x14ac:dyDescent="0.25">
      <c r="A34" t="s">
        <v>931</v>
      </c>
      <c r="B34" t="s">
        <v>123</v>
      </c>
      <c r="D34" s="10">
        <v>0</v>
      </c>
      <c r="E34" s="10">
        <v>0</v>
      </c>
      <c r="F34" s="10">
        <v>0</v>
      </c>
      <c r="G34" s="10">
        <v>69.45</v>
      </c>
      <c r="H34" s="10">
        <v>200</v>
      </c>
    </row>
    <row r="35" spans="1:11" x14ac:dyDescent="0.25">
      <c r="A35" t="s">
        <v>932</v>
      </c>
      <c r="B35" t="s">
        <v>124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11" x14ac:dyDescent="0.25">
      <c r="A36" t="s">
        <v>933</v>
      </c>
      <c r="B36" t="s">
        <v>126</v>
      </c>
      <c r="D36" s="10">
        <v>0</v>
      </c>
      <c r="E36" s="10">
        <v>0</v>
      </c>
      <c r="F36" s="10">
        <v>0</v>
      </c>
      <c r="G36" s="10">
        <v>85.98</v>
      </c>
      <c r="H36" s="10">
        <v>250</v>
      </c>
    </row>
    <row r="37" spans="1:11" x14ac:dyDescent="0.25">
      <c r="A37" t="s">
        <v>855</v>
      </c>
      <c r="D37" s="10"/>
      <c r="E37" s="10"/>
      <c r="F37" s="10"/>
      <c r="G37" s="10"/>
      <c r="H37" s="10"/>
    </row>
    <row r="38" spans="1:11" ht="12" customHeight="1" x14ac:dyDescent="0.25">
      <c r="A38" t="s">
        <v>934</v>
      </c>
      <c r="B38" t="s">
        <v>705</v>
      </c>
      <c r="D38" s="10">
        <v>11400</v>
      </c>
      <c r="E38" s="10">
        <v>2465</v>
      </c>
      <c r="F38" s="10">
        <v>1000</v>
      </c>
      <c r="G38" s="10">
        <v>1617.69</v>
      </c>
      <c r="H38" s="10">
        <v>4000</v>
      </c>
    </row>
    <row r="39" spans="1:11" ht="12" customHeight="1" x14ac:dyDescent="0.25">
      <c r="A39" t="s">
        <v>944</v>
      </c>
      <c r="D39" s="10"/>
      <c r="E39" s="10"/>
      <c r="F39" s="10"/>
      <c r="G39" s="10"/>
      <c r="H39" s="10"/>
    </row>
    <row r="40" spans="1:11" ht="12" customHeight="1" x14ac:dyDescent="0.25">
      <c r="A40" t="s">
        <v>945</v>
      </c>
      <c r="B40" t="s">
        <v>117</v>
      </c>
      <c r="D40" s="10">
        <v>0</v>
      </c>
      <c r="E40" s="10">
        <v>0</v>
      </c>
      <c r="F40" s="10">
        <v>0</v>
      </c>
      <c r="G40" s="10">
        <v>0</v>
      </c>
      <c r="H40" s="10">
        <v>400</v>
      </c>
    </row>
    <row r="41" spans="1:11" x14ac:dyDescent="0.25">
      <c r="A41" t="s">
        <v>107</v>
      </c>
      <c r="D41" s="10"/>
      <c r="E41" s="10"/>
      <c r="F41" s="10"/>
      <c r="G41" s="10"/>
      <c r="H41" s="10"/>
    </row>
    <row r="42" spans="1:11" x14ac:dyDescent="0.25">
      <c r="A42" t="s">
        <v>942</v>
      </c>
      <c r="B42" t="s">
        <v>943</v>
      </c>
      <c r="D42" s="10">
        <v>250</v>
      </c>
      <c r="E42" s="10">
        <v>250</v>
      </c>
      <c r="F42" s="10">
        <v>250</v>
      </c>
      <c r="G42" s="10">
        <v>250</v>
      </c>
      <c r="H42" s="10">
        <v>0</v>
      </c>
    </row>
    <row r="43" spans="1:11" x14ac:dyDescent="0.25">
      <c r="A43" t="s">
        <v>935</v>
      </c>
      <c r="B43" t="s">
        <v>108</v>
      </c>
      <c r="D43" s="10">
        <v>300</v>
      </c>
      <c r="E43" s="10">
        <v>20</v>
      </c>
      <c r="F43" s="10">
        <v>300</v>
      </c>
      <c r="G43" s="10">
        <v>46.87</v>
      </c>
      <c r="H43" s="10">
        <v>150</v>
      </c>
    </row>
    <row r="44" spans="1:11" x14ac:dyDescent="0.25">
      <c r="D44" s="10"/>
      <c r="E44" s="10"/>
      <c r="F44" s="10"/>
      <c r="G44" s="10"/>
      <c r="H44" s="10"/>
    </row>
    <row r="45" spans="1:11" x14ac:dyDescent="0.25">
      <c r="A45" s="33"/>
      <c r="B45" s="25" t="s">
        <v>58</v>
      </c>
      <c r="D45" s="10">
        <f>SUM(D15:D43)</f>
        <v>86025</v>
      </c>
      <c r="E45" s="10">
        <f>SUM(E15:E43)</f>
        <v>74969.75</v>
      </c>
      <c r="F45" s="10">
        <f>SUM(F15:F43)</f>
        <v>72625</v>
      </c>
      <c r="G45" s="10">
        <f>SUM(G15:G43)</f>
        <v>76706.319999999992</v>
      </c>
      <c r="H45" s="10">
        <f>SUM(H20:H44)</f>
        <v>73743</v>
      </c>
    </row>
    <row r="46" spans="1:11" x14ac:dyDescent="0.25">
      <c r="A46" s="40"/>
    </row>
    <row r="47" spans="1:11" x14ac:dyDescent="0.25">
      <c r="A47" s="33"/>
    </row>
    <row r="48" spans="1:11" x14ac:dyDescent="0.25">
      <c r="A48" s="27"/>
      <c r="B48" s="127"/>
      <c r="K48" s="22"/>
    </row>
  </sheetData>
  <pageMargins left="0.7" right="0.7" top="0.75" bottom="0.75" header="0.3" footer="0.3"/>
  <pageSetup orientation="landscape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workbookViewId="0">
      <selection activeCell="E26" sqref="E26"/>
    </sheetView>
  </sheetViews>
  <sheetFormatPr defaultRowHeight="13.2" x14ac:dyDescent="0.25"/>
  <cols>
    <col min="1" max="1" width="24" customWidth="1"/>
    <col min="2" max="2" width="35.33203125" bestFit="1" customWidth="1"/>
    <col min="3" max="3" width="4.109375" customWidth="1"/>
    <col min="4" max="8" width="11.6640625" customWidth="1"/>
  </cols>
  <sheetData>
    <row r="1" spans="1:12" ht="15.6" x14ac:dyDescent="0.3">
      <c r="B1" s="14" t="s">
        <v>913</v>
      </c>
      <c r="D1" s="1">
        <v>2020</v>
      </c>
      <c r="E1" s="1">
        <v>2019</v>
      </c>
      <c r="F1" s="42">
        <v>2019</v>
      </c>
      <c r="G1" s="42">
        <v>2018</v>
      </c>
      <c r="H1" s="42">
        <v>2018</v>
      </c>
      <c r="I1" s="42"/>
      <c r="J1" s="42"/>
      <c r="K1" s="42"/>
      <c r="L1" s="42"/>
    </row>
    <row r="2" spans="1:12" ht="15.6" x14ac:dyDescent="0.3">
      <c r="B2" s="14"/>
      <c r="D2" s="1" t="s">
        <v>506</v>
      </c>
      <c r="E2" s="1" t="s">
        <v>1206</v>
      </c>
      <c r="F2" s="42" t="s">
        <v>506</v>
      </c>
      <c r="G2" s="42" t="s">
        <v>807</v>
      </c>
      <c r="H2" s="42" t="s">
        <v>506</v>
      </c>
      <c r="I2" s="42"/>
      <c r="J2" s="42"/>
      <c r="K2" s="42"/>
      <c r="L2" s="42"/>
    </row>
    <row r="3" spans="1:12" x14ac:dyDescent="0.25">
      <c r="A3" t="s">
        <v>78</v>
      </c>
    </row>
    <row r="4" spans="1:12" x14ac:dyDescent="0.25">
      <c r="A4" s="27" t="s">
        <v>914</v>
      </c>
      <c r="B4" t="s">
        <v>686</v>
      </c>
      <c r="D4" s="10">
        <v>2934</v>
      </c>
      <c r="E4" s="10">
        <v>2387.66</v>
      </c>
      <c r="F4" s="10">
        <v>657</v>
      </c>
      <c r="G4" s="10">
        <v>1399.85</v>
      </c>
      <c r="H4" s="10">
        <v>2250.5700000000002</v>
      </c>
      <c r="I4" s="10"/>
      <c r="J4" s="10"/>
      <c r="K4" s="38"/>
      <c r="L4" s="38"/>
    </row>
    <row r="5" spans="1:12" x14ac:dyDescent="0.25">
      <c r="A5" s="27" t="s">
        <v>915</v>
      </c>
      <c r="B5" s="27" t="s">
        <v>916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/>
      <c r="J5" s="10"/>
      <c r="K5" s="39"/>
      <c r="L5" s="39"/>
    </row>
    <row r="6" spans="1:12" x14ac:dyDescent="0.25">
      <c r="A6" s="27" t="s">
        <v>1015</v>
      </c>
      <c r="B6" s="27" t="s">
        <v>1016</v>
      </c>
      <c r="D6" s="10">
        <v>11558</v>
      </c>
      <c r="E6" s="10">
        <v>11639.56</v>
      </c>
      <c r="F6" s="10">
        <v>7776</v>
      </c>
      <c r="G6" s="10">
        <v>34167.620000000003</v>
      </c>
      <c r="H6" s="10">
        <v>19390</v>
      </c>
      <c r="I6" s="10"/>
      <c r="J6" s="58"/>
      <c r="K6" s="48"/>
      <c r="L6" s="48"/>
    </row>
    <row r="7" spans="1:12" x14ac:dyDescent="0.25">
      <c r="D7" s="10"/>
      <c r="E7" s="10"/>
      <c r="F7" s="10"/>
      <c r="G7" s="10"/>
      <c r="H7" s="10"/>
      <c r="I7" s="10"/>
      <c r="J7" s="10"/>
      <c r="K7" s="39"/>
      <c r="L7" s="39"/>
    </row>
    <row r="8" spans="1:12" x14ac:dyDescent="0.25">
      <c r="B8" s="25" t="s">
        <v>58</v>
      </c>
      <c r="D8" s="10">
        <f>SUM(D4:D6)</f>
        <v>14492</v>
      </c>
      <c r="E8" s="10">
        <f>SUM(E4:E6)</f>
        <v>14027.22</v>
      </c>
      <c r="F8" s="10">
        <f>SUM(F4:F6)</f>
        <v>8433</v>
      </c>
      <c r="G8" s="10">
        <f t="shared" ref="G8:H8" si="0">SUM(G4:G7)</f>
        <v>35567.47</v>
      </c>
      <c r="H8" s="10">
        <f t="shared" si="0"/>
        <v>21640.57</v>
      </c>
      <c r="I8" s="10"/>
      <c r="J8" s="10"/>
      <c r="K8" s="38"/>
      <c r="L8" s="38"/>
    </row>
    <row r="9" spans="1:12" x14ac:dyDescent="0.25">
      <c r="B9" s="25"/>
      <c r="D9" s="10"/>
      <c r="E9" s="10"/>
      <c r="F9" s="10"/>
      <c r="I9" s="10"/>
      <c r="J9" s="10"/>
      <c r="K9" s="38"/>
      <c r="L9" s="38"/>
    </row>
    <row r="10" spans="1:12" x14ac:dyDescent="0.25">
      <c r="A10" t="s">
        <v>576</v>
      </c>
      <c r="B10" s="25"/>
      <c r="D10" s="10"/>
      <c r="E10" s="10"/>
      <c r="F10" s="10"/>
      <c r="I10" s="10"/>
      <c r="J10" s="10"/>
      <c r="K10" s="38"/>
      <c r="L10" s="38"/>
    </row>
    <row r="11" spans="1:12" x14ac:dyDescent="0.25">
      <c r="A11" t="s">
        <v>1015</v>
      </c>
      <c r="B11" s="136" t="s">
        <v>1218</v>
      </c>
      <c r="D11" s="10">
        <v>0</v>
      </c>
      <c r="E11" s="10">
        <v>113927.82</v>
      </c>
      <c r="F11" s="10">
        <v>0</v>
      </c>
      <c r="G11" s="10">
        <v>0</v>
      </c>
      <c r="H11" s="10">
        <v>0</v>
      </c>
      <c r="I11" s="10"/>
      <c r="J11" s="10"/>
      <c r="K11" s="38"/>
      <c r="L11" s="38"/>
    </row>
    <row r="12" spans="1:12" x14ac:dyDescent="0.25">
      <c r="A12" t="s">
        <v>1115</v>
      </c>
      <c r="B12" s="136" t="s">
        <v>12</v>
      </c>
      <c r="D12" s="10">
        <v>300</v>
      </c>
      <c r="E12" s="10">
        <v>771.5</v>
      </c>
      <c r="F12" s="10">
        <v>0</v>
      </c>
      <c r="G12" s="10">
        <v>0</v>
      </c>
      <c r="H12" s="10">
        <v>0</v>
      </c>
      <c r="I12" s="10"/>
      <c r="J12" s="10"/>
      <c r="K12" s="38"/>
      <c r="L12" s="38"/>
    </row>
    <row r="13" spans="1:12" x14ac:dyDescent="0.25">
      <c r="A13" t="s">
        <v>1041</v>
      </c>
      <c r="B13" s="136" t="s">
        <v>94</v>
      </c>
      <c r="C13" s="10"/>
      <c r="D13" s="10">
        <v>10000</v>
      </c>
      <c r="E13" s="10">
        <v>3288.33</v>
      </c>
      <c r="F13" s="10">
        <v>0</v>
      </c>
      <c r="G13" s="10">
        <v>0</v>
      </c>
      <c r="H13" s="10">
        <v>0</v>
      </c>
      <c r="I13" s="10"/>
      <c r="J13" s="10"/>
      <c r="K13" s="38"/>
      <c r="L13" s="38"/>
    </row>
    <row r="14" spans="1:12" x14ac:dyDescent="0.25">
      <c r="A14" t="s">
        <v>1042</v>
      </c>
      <c r="B14" t="s">
        <v>117</v>
      </c>
      <c r="C14" s="10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/>
      <c r="J14" s="10"/>
      <c r="K14" s="39"/>
      <c r="L14" s="39"/>
    </row>
    <row r="15" spans="1:12" x14ac:dyDescent="0.25">
      <c r="A15" t="s">
        <v>1116</v>
      </c>
      <c r="B15" t="s">
        <v>57</v>
      </c>
      <c r="C15" s="10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/>
      <c r="J15" s="10"/>
      <c r="K15" s="39"/>
      <c r="L15" s="39"/>
    </row>
    <row r="16" spans="1:12" x14ac:dyDescent="0.25">
      <c r="C16" s="10"/>
      <c r="D16" s="10"/>
      <c r="E16" s="10"/>
      <c r="F16" s="10"/>
      <c r="G16" s="10"/>
      <c r="H16" s="10"/>
      <c r="I16" s="10"/>
      <c r="J16" s="10"/>
      <c r="K16" s="39"/>
      <c r="L16" s="39"/>
    </row>
    <row r="17" spans="1:12" x14ac:dyDescent="0.25">
      <c r="B17" s="25" t="s">
        <v>58</v>
      </c>
      <c r="C17" s="10"/>
      <c r="D17" s="10">
        <f>SUM(D11:D15)</f>
        <v>10300</v>
      </c>
      <c r="E17" s="10">
        <f>SUM(E11:E15)</f>
        <v>117987.65000000001</v>
      </c>
      <c r="F17" s="10">
        <f>SUM(F12:F15)</f>
        <v>0</v>
      </c>
      <c r="G17" s="10">
        <f>SUM(G12:G16)</f>
        <v>0</v>
      </c>
      <c r="H17" s="10">
        <f>SUM(H13:H16)</f>
        <v>0</v>
      </c>
      <c r="I17" s="10"/>
      <c r="J17" s="10"/>
      <c r="K17" s="39"/>
      <c r="L17" s="39"/>
    </row>
    <row r="18" spans="1:12" x14ac:dyDescent="0.25">
      <c r="I18" s="10"/>
      <c r="J18" s="10"/>
      <c r="K18" s="39"/>
      <c r="L18" s="39"/>
    </row>
    <row r="19" spans="1:12" x14ac:dyDescent="0.25">
      <c r="I19" s="10"/>
      <c r="J19" s="10"/>
      <c r="K19" s="39"/>
      <c r="L19" s="39"/>
    </row>
    <row r="20" spans="1:12" x14ac:dyDescent="0.25">
      <c r="A20" s="27" t="s">
        <v>1284</v>
      </c>
      <c r="B20" s="137">
        <v>73796.73</v>
      </c>
      <c r="I20" s="10"/>
      <c r="J20" s="10"/>
      <c r="K20" s="39"/>
      <c r="L20" s="39"/>
    </row>
    <row r="21" spans="1:12" x14ac:dyDescent="0.25">
      <c r="B21" s="27"/>
      <c r="I21" s="10"/>
      <c r="J21" s="10"/>
      <c r="K21" s="39"/>
      <c r="L21" s="39"/>
    </row>
    <row r="22" spans="1:12" x14ac:dyDescent="0.25">
      <c r="I22" s="10"/>
      <c r="J22" s="10"/>
      <c r="K22" s="39"/>
      <c r="L22" s="39"/>
    </row>
    <row r="23" spans="1:12" x14ac:dyDescent="0.25">
      <c r="I23" s="10"/>
      <c r="J23" s="10"/>
      <c r="K23" s="39"/>
      <c r="L23" s="39"/>
    </row>
    <row r="24" spans="1:12" x14ac:dyDescent="0.25">
      <c r="I24" s="10"/>
      <c r="J24" s="10"/>
      <c r="K24" s="39"/>
      <c r="L24" s="39"/>
    </row>
    <row r="25" spans="1:12" x14ac:dyDescent="0.25">
      <c r="I25" s="10"/>
      <c r="J25" s="10"/>
      <c r="K25" s="39"/>
      <c r="L25" s="39"/>
    </row>
    <row r="26" spans="1:12" x14ac:dyDescent="0.25">
      <c r="I26" s="10"/>
      <c r="J26" s="10"/>
      <c r="K26" s="39"/>
      <c r="L26" s="39"/>
    </row>
    <row r="27" spans="1:12" x14ac:dyDescent="0.25">
      <c r="I27" s="10"/>
      <c r="J27" s="10"/>
      <c r="K27" s="39"/>
      <c r="L27" s="39"/>
    </row>
    <row r="28" spans="1:12" x14ac:dyDescent="0.25">
      <c r="I28" s="10"/>
      <c r="J28" s="10"/>
      <c r="K28" s="39"/>
      <c r="L28" s="39"/>
    </row>
    <row r="29" spans="1:12" x14ac:dyDescent="0.25">
      <c r="I29" s="10"/>
      <c r="J29" s="10"/>
      <c r="K29" s="39"/>
      <c r="L29" s="39"/>
    </row>
    <row r="30" spans="1:12" x14ac:dyDescent="0.25">
      <c r="I30" s="10"/>
      <c r="J30" s="10"/>
      <c r="K30" s="39"/>
      <c r="L30" s="39"/>
    </row>
    <row r="31" spans="1:12" x14ac:dyDescent="0.25">
      <c r="I31" s="10"/>
      <c r="J31" s="10"/>
      <c r="K31" s="39"/>
      <c r="L31" s="39"/>
    </row>
    <row r="32" spans="1:12" x14ac:dyDescent="0.25">
      <c r="I32" s="10"/>
      <c r="J32" s="10"/>
      <c r="K32" s="39"/>
      <c r="L32" s="39"/>
    </row>
    <row r="33" spans="1:12" x14ac:dyDescent="0.25">
      <c r="I33" s="10"/>
      <c r="J33" s="10"/>
      <c r="K33" s="41"/>
      <c r="L33" s="41"/>
    </row>
    <row r="34" spans="1:12" x14ac:dyDescent="0.25">
      <c r="A34" s="33"/>
      <c r="B34" s="25"/>
      <c r="I34" s="10"/>
      <c r="J34" s="10"/>
      <c r="K34" s="41"/>
      <c r="L34" s="41"/>
    </row>
    <row r="35" spans="1:12" x14ac:dyDescent="0.25">
      <c r="A35" s="40"/>
      <c r="I35" s="10"/>
      <c r="J35" s="10"/>
      <c r="K35" s="39"/>
      <c r="L35" s="39"/>
    </row>
    <row r="36" spans="1:12" x14ac:dyDescent="0.25">
      <c r="B36" s="27"/>
      <c r="I36" s="10"/>
      <c r="J36" s="10"/>
      <c r="K36" s="38"/>
      <c r="L36" s="38"/>
    </row>
    <row r="37" spans="1:12" x14ac:dyDescent="0.25">
      <c r="I37" s="10"/>
      <c r="J37" s="10"/>
      <c r="K37" s="39"/>
      <c r="L37" s="39"/>
    </row>
    <row r="38" spans="1:12" x14ac:dyDescent="0.25">
      <c r="A38" s="13"/>
      <c r="I38" s="10"/>
      <c r="J38" s="10"/>
      <c r="K38" s="39"/>
      <c r="L38" s="39"/>
    </row>
    <row r="39" spans="1:12" x14ac:dyDescent="0.25">
      <c r="I39" s="10"/>
      <c r="J39" s="10"/>
      <c r="K39" s="39"/>
      <c r="L39" s="39"/>
    </row>
    <row r="40" spans="1:12" x14ac:dyDescent="0.25">
      <c r="I40" s="10"/>
      <c r="J40" s="10"/>
      <c r="K40" s="39"/>
      <c r="L40" s="39"/>
    </row>
    <row r="41" spans="1:12" x14ac:dyDescent="0.25">
      <c r="I41" s="10"/>
      <c r="J41" s="10"/>
      <c r="K41" s="39"/>
      <c r="L41" s="39"/>
    </row>
    <row r="42" spans="1:12" x14ac:dyDescent="0.25">
      <c r="I42" s="10"/>
      <c r="J42" s="10"/>
      <c r="K42" s="38"/>
      <c r="L42" s="38"/>
    </row>
    <row r="43" spans="1:12" x14ac:dyDescent="0.25">
      <c r="I43" s="10"/>
      <c r="J43" s="10"/>
      <c r="K43" s="38"/>
      <c r="L43" s="38"/>
    </row>
    <row r="44" spans="1:12" x14ac:dyDescent="0.25">
      <c r="I44" s="10"/>
      <c r="J44" s="10"/>
      <c r="K44" s="39"/>
      <c r="L44" s="39"/>
    </row>
    <row r="45" spans="1:12" x14ac:dyDescent="0.25">
      <c r="I45" s="10"/>
      <c r="J45" s="10"/>
      <c r="K45" s="39"/>
      <c r="L45" s="39"/>
    </row>
    <row r="46" spans="1:12" x14ac:dyDescent="0.25">
      <c r="I46" s="10"/>
      <c r="J46" s="10"/>
      <c r="K46" s="38"/>
      <c r="L46" s="38"/>
    </row>
    <row r="47" spans="1:12" x14ac:dyDescent="0.25">
      <c r="I47" s="10"/>
      <c r="J47" s="10"/>
      <c r="K47" s="39"/>
      <c r="L47" s="39"/>
    </row>
    <row r="48" spans="1:12" x14ac:dyDescent="0.25">
      <c r="I48" s="10"/>
      <c r="J48" s="10"/>
      <c r="K48" s="39"/>
      <c r="L48" s="39"/>
    </row>
    <row r="49" spans="1:12" x14ac:dyDescent="0.25">
      <c r="I49" s="10"/>
      <c r="J49" s="10"/>
      <c r="K49" s="38"/>
      <c r="L49" s="38"/>
    </row>
    <row r="50" spans="1:12" x14ac:dyDescent="0.25">
      <c r="I50" s="10"/>
      <c r="J50" s="10"/>
      <c r="K50" s="38"/>
      <c r="L50" s="38"/>
    </row>
    <row r="51" spans="1:12" x14ac:dyDescent="0.25">
      <c r="I51" s="10"/>
      <c r="J51" s="10"/>
      <c r="K51" s="38"/>
      <c r="L51" s="38"/>
    </row>
    <row r="52" spans="1:12" x14ac:dyDescent="0.25">
      <c r="I52" s="10"/>
      <c r="J52" s="10"/>
      <c r="K52" s="38"/>
      <c r="L52" s="38"/>
    </row>
    <row r="53" spans="1:12" x14ac:dyDescent="0.25">
      <c r="I53" s="10"/>
      <c r="J53" s="10"/>
      <c r="K53" s="38"/>
      <c r="L53" s="38"/>
    </row>
    <row r="54" spans="1:12" x14ac:dyDescent="0.25">
      <c r="I54" s="10"/>
      <c r="J54" s="10"/>
      <c r="K54" s="39"/>
      <c r="L54" s="39"/>
    </row>
    <row r="55" spans="1:12" x14ac:dyDescent="0.25">
      <c r="B55" s="27"/>
      <c r="I55" s="10"/>
      <c r="J55" s="10"/>
      <c r="K55" s="39"/>
      <c r="L55" s="39"/>
    </row>
    <row r="56" spans="1:12" x14ac:dyDescent="0.25">
      <c r="I56" s="10"/>
      <c r="J56" s="10"/>
      <c r="K56" s="39"/>
      <c r="L56" s="39"/>
    </row>
    <row r="57" spans="1:12" x14ac:dyDescent="0.25">
      <c r="I57" s="10"/>
      <c r="J57" s="10"/>
      <c r="K57" s="39"/>
      <c r="L57" s="39"/>
    </row>
    <row r="58" spans="1:12" x14ac:dyDescent="0.25">
      <c r="A58" s="27"/>
      <c r="B58" s="27"/>
      <c r="I58" s="10"/>
      <c r="J58" s="10"/>
      <c r="K58" s="39"/>
      <c r="L58" s="39"/>
    </row>
    <row r="59" spans="1:12" x14ac:dyDescent="0.25">
      <c r="I59" s="10"/>
      <c r="J59" s="10"/>
      <c r="K59" s="39"/>
      <c r="L59" s="39"/>
    </row>
    <row r="60" spans="1:12" x14ac:dyDescent="0.25">
      <c r="I60" s="10"/>
      <c r="J60" s="10"/>
      <c r="K60" s="39"/>
      <c r="L60" s="39"/>
    </row>
    <row r="61" spans="1:12" x14ac:dyDescent="0.25">
      <c r="I61" s="10"/>
      <c r="J61" s="10"/>
      <c r="K61" s="39"/>
      <c r="L61" s="39"/>
    </row>
    <row r="62" spans="1:12" x14ac:dyDescent="0.25">
      <c r="A62" s="33"/>
      <c r="B62" s="25"/>
      <c r="I62" s="10"/>
      <c r="J62" s="10"/>
      <c r="K62" s="41"/>
      <c r="L62" s="41"/>
    </row>
    <row r="63" spans="1:12" x14ac:dyDescent="0.25">
      <c r="A63" s="40"/>
      <c r="I63" s="10"/>
      <c r="J63" s="10"/>
    </row>
    <row r="64" spans="1:12" x14ac:dyDescent="0.25">
      <c r="A64" s="33"/>
    </row>
  </sheetData>
  <pageMargins left="0.7" right="0.7" top="0.75" bottom="0.75" header="0.3" footer="0.3"/>
  <pageSetup orientation="landscape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workbookViewId="0">
      <selection activeCell="O21" sqref="O21"/>
    </sheetView>
  </sheetViews>
  <sheetFormatPr defaultRowHeight="13.2" x14ac:dyDescent="0.25"/>
  <cols>
    <col min="1" max="1" width="24.33203125" customWidth="1"/>
    <col min="2" max="2" width="35.33203125" bestFit="1" customWidth="1"/>
    <col min="3" max="3" width="4.44140625" customWidth="1"/>
    <col min="4" max="8" width="11.6640625" customWidth="1"/>
  </cols>
  <sheetData>
    <row r="1" spans="1:12" ht="15.6" x14ac:dyDescent="0.3">
      <c r="B1" s="14" t="s">
        <v>919</v>
      </c>
      <c r="D1" s="1">
        <v>2020</v>
      </c>
      <c r="E1" s="1">
        <v>2019</v>
      </c>
      <c r="F1" s="42">
        <v>2019</v>
      </c>
      <c r="G1" s="42">
        <v>2018</v>
      </c>
      <c r="H1" s="17">
        <v>2018</v>
      </c>
      <c r="I1" s="42"/>
      <c r="J1" s="42"/>
      <c r="K1" s="42"/>
      <c r="L1" s="42"/>
    </row>
    <row r="2" spans="1:12" ht="15.6" x14ac:dyDescent="0.3">
      <c r="B2" s="14"/>
      <c r="D2" s="1" t="s">
        <v>506</v>
      </c>
      <c r="E2" s="1" t="s">
        <v>1206</v>
      </c>
      <c r="F2" s="42" t="s">
        <v>506</v>
      </c>
      <c r="G2" s="42" t="s">
        <v>807</v>
      </c>
      <c r="H2" s="17" t="s">
        <v>506</v>
      </c>
      <c r="I2" s="42"/>
      <c r="J2" s="42"/>
      <c r="K2" s="42"/>
      <c r="L2" s="42"/>
    </row>
    <row r="3" spans="1:12" x14ac:dyDescent="0.25">
      <c r="A3" t="s">
        <v>78</v>
      </c>
    </row>
    <row r="4" spans="1:12" x14ac:dyDescent="0.25">
      <c r="A4" s="27" t="s">
        <v>917</v>
      </c>
      <c r="B4" t="s">
        <v>686</v>
      </c>
      <c r="D4" s="10">
        <v>30</v>
      </c>
      <c r="E4" s="10">
        <v>27.48</v>
      </c>
      <c r="F4" s="10">
        <v>50</v>
      </c>
      <c r="G4" s="10">
        <v>32.07</v>
      </c>
      <c r="H4" s="10">
        <v>50</v>
      </c>
      <c r="I4" s="10"/>
      <c r="J4" s="10"/>
      <c r="K4" s="38"/>
      <c r="L4" s="38"/>
    </row>
    <row r="5" spans="1:12" x14ac:dyDescent="0.25">
      <c r="A5" s="27" t="s">
        <v>918</v>
      </c>
      <c r="B5" s="27" t="s">
        <v>920</v>
      </c>
      <c r="D5" s="10">
        <v>12000</v>
      </c>
      <c r="E5" s="10">
        <v>10000</v>
      </c>
      <c r="F5" s="10">
        <v>12000</v>
      </c>
      <c r="G5" s="10">
        <v>13000</v>
      </c>
      <c r="H5" s="10">
        <v>12000</v>
      </c>
      <c r="I5" s="10"/>
      <c r="J5" s="10"/>
      <c r="K5" s="39"/>
      <c r="L5" s="39"/>
    </row>
    <row r="6" spans="1:12" x14ac:dyDescent="0.25">
      <c r="D6" s="10"/>
      <c r="E6" s="10"/>
      <c r="F6" s="10"/>
      <c r="G6" s="10"/>
      <c r="H6" s="10"/>
      <c r="I6" s="10"/>
      <c r="J6" s="58"/>
      <c r="K6" s="48"/>
      <c r="L6" s="48"/>
    </row>
    <row r="7" spans="1:12" x14ac:dyDescent="0.25">
      <c r="D7" s="10"/>
      <c r="E7" s="10"/>
      <c r="F7" s="10"/>
      <c r="G7" s="10"/>
      <c r="H7" s="10"/>
      <c r="I7" s="10"/>
      <c r="J7" s="10"/>
      <c r="K7" s="39"/>
      <c r="L7" s="39"/>
    </row>
    <row r="8" spans="1:12" x14ac:dyDescent="0.25">
      <c r="B8" s="25" t="s">
        <v>58</v>
      </c>
      <c r="D8" s="10">
        <f>SUM(D4:D5)</f>
        <v>12030</v>
      </c>
      <c r="E8" s="10">
        <f>SUM(E4:E5)</f>
        <v>10027.48</v>
      </c>
      <c r="F8" s="10">
        <f>SUM(F4:F7)</f>
        <v>12050</v>
      </c>
      <c r="G8" s="10">
        <f t="shared" ref="G8:H8" si="0">SUM(G4:G7)</f>
        <v>13032.07</v>
      </c>
      <c r="H8" s="10">
        <f t="shared" si="0"/>
        <v>12050</v>
      </c>
      <c r="I8" s="10"/>
      <c r="J8" s="10"/>
      <c r="K8" s="38"/>
      <c r="L8" s="38"/>
    </row>
    <row r="9" spans="1:12" x14ac:dyDescent="0.25">
      <c r="A9" t="s">
        <v>79</v>
      </c>
      <c r="D9" s="10"/>
      <c r="E9" s="10"/>
      <c r="F9" s="10"/>
      <c r="H9" s="10"/>
      <c r="I9" s="10"/>
      <c r="J9" s="10"/>
      <c r="K9" s="39"/>
      <c r="L9" s="39"/>
    </row>
    <row r="10" spans="1:12" x14ac:dyDescent="0.25">
      <c r="A10" t="s">
        <v>128</v>
      </c>
      <c r="D10" s="10"/>
      <c r="E10" s="10"/>
      <c r="F10" s="10"/>
      <c r="H10" s="10"/>
      <c r="I10" s="10"/>
      <c r="J10" s="10"/>
      <c r="K10" s="39"/>
      <c r="L10" s="39"/>
    </row>
    <row r="11" spans="1:12" x14ac:dyDescent="0.25">
      <c r="A11" t="s">
        <v>926</v>
      </c>
      <c r="B11" t="s">
        <v>130</v>
      </c>
      <c r="D11" s="10">
        <v>600</v>
      </c>
      <c r="E11" s="10">
        <v>587</v>
      </c>
      <c r="F11" s="10">
        <v>600</v>
      </c>
      <c r="G11" s="10">
        <v>542</v>
      </c>
      <c r="H11" s="10">
        <v>500</v>
      </c>
      <c r="I11" s="10"/>
      <c r="J11" s="10"/>
      <c r="K11" s="39"/>
      <c r="L11" s="39"/>
    </row>
    <row r="12" spans="1:12" x14ac:dyDescent="0.25">
      <c r="A12" s="27" t="s">
        <v>921</v>
      </c>
      <c r="D12" s="10"/>
      <c r="E12" s="10"/>
      <c r="F12" s="10"/>
      <c r="G12" s="10"/>
      <c r="H12" s="10"/>
      <c r="I12" s="10"/>
      <c r="J12" s="10"/>
      <c r="K12" s="39"/>
      <c r="L12" s="39"/>
    </row>
    <row r="13" spans="1:12" x14ac:dyDescent="0.25">
      <c r="A13" s="27" t="s">
        <v>922</v>
      </c>
      <c r="B13" s="27" t="s">
        <v>923</v>
      </c>
      <c r="D13" s="10">
        <v>2700</v>
      </c>
      <c r="E13" s="10">
        <v>2592</v>
      </c>
      <c r="F13" s="10">
        <v>3600</v>
      </c>
      <c r="G13" s="10">
        <v>2692</v>
      </c>
      <c r="H13" s="10">
        <v>3518</v>
      </c>
      <c r="I13" s="10"/>
      <c r="J13" s="10"/>
      <c r="K13" s="39"/>
      <c r="L13" s="39"/>
    </row>
    <row r="14" spans="1:12" x14ac:dyDescent="0.25">
      <c r="A14" s="27" t="s">
        <v>844</v>
      </c>
      <c r="B14" s="27"/>
      <c r="D14" s="10"/>
      <c r="E14" s="10"/>
      <c r="F14" s="10"/>
      <c r="G14" s="10"/>
      <c r="H14" s="10"/>
      <c r="I14" s="10"/>
      <c r="J14" s="10"/>
      <c r="K14" s="39"/>
      <c r="L14" s="39"/>
    </row>
    <row r="15" spans="1:12" x14ac:dyDescent="0.25">
      <c r="A15" s="27" t="s">
        <v>1043</v>
      </c>
      <c r="B15" s="27" t="s">
        <v>195</v>
      </c>
      <c r="D15" s="10">
        <v>0</v>
      </c>
      <c r="E15" s="10">
        <v>0</v>
      </c>
      <c r="F15" s="10">
        <v>0</v>
      </c>
      <c r="G15" s="10">
        <v>1995.34</v>
      </c>
      <c r="H15" s="10">
        <v>0</v>
      </c>
      <c r="I15" s="10"/>
      <c r="J15" s="10"/>
      <c r="K15" s="39"/>
      <c r="L15" s="39"/>
    </row>
    <row r="16" spans="1:12" x14ac:dyDescent="0.25">
      <c r="A16" s="27" t="s">
        <v>1044</v>
      </c>
      <c r="B16" s="27" t="s">
        <v>1045</v>
      </c>
      <c r="D16" s="10">
        <v>8311</v>
      </c>
      <c r="E16" s="10">
        <v>0</v>
      </c>
      <c r="F16" s="10">
        <v>8311</v>
      </c>
      <c r="G16" s="10">
        <f>8311-G15</f>
        <v>6315.66</v>
      </c>
      <c r="H16" s="10">
        <v>8311</v>
      </c>
      <c r="I16" s="10"/>
      <c r="J16" s="10"/>
      <c r="K16" s="39"/>
      <c r="L16" s="39"/>
    </row>
    <row r="17" spans="1:12" x14ac:dyDescent="0.25">
      <c r="A17" s="27" t="s">
        <v>944</v>
      </c>
      <c r="B17" s="27"/>
      <c r="D17" s="10"/>
      <c r="E17" s="10"/>
      <c r="F17" s="10"/>
      <c r="G17" s="10"/>
      <c r="H17" s="10"/>
      <c r="I17" s="10"/>
      <c r="J17" s="10"/>
      <c r="K17" s="39"/>
      <c r="L17" s="39"/>
    </row>
    <row r="18" spans="1:12" x14ac:dyDescent="0.25">
      <c r="A18" s="27" t="s">
        <v>946</v>
      </c>
      <c r="B18" s="27" t="s">
        <v>117</v>
      </c>
      <c r="D18" s="10">
        <v>400</v>
      </c>
      <c r="E18" s="10">
        <v>0</v>
      </c>
      <c r="F18" s="10">
        <v>500</v>
      </c>
      <c r="G18" s="10">
        <v>0</v>
      </c>
      <c r="H18" s="10">
        <v>500</v>
      </c>
      <c r="I18" s="10"/>
      <c r="J18" s="10"/>
      <c r="K18" s="39"/>
      <c r="L18" s="39"/>
    </row>
    <row r="19" spans="1:12" x14ac:dyDescent="0.25">
      <c r="D19" s="10"/>
      <c r="E19" s="10"/>
      <c r="F19" s="10"/>
      <c r="G19" s="10"/>
      <c r="H19" s="10"/>
      <c r="I19" s="10"/>
      <c r="J19" s="10"/>
      <c r="K19" s="41"/>
      <c r="L19" s="41"/>
    </row>
    <row r="20" spans="1:12" x14ac:dyDescent="0.25">
      <c r="A20" s="33"/>
      <c r="B20" s="25" t="s">
        <v>58</v>
      </c>
      <c r="D20" s="10">
        <f>SUM(D11:D18)</f>
        <v>12011</v>
      </c>
      <c r="E20" s="10">
        <f>SUM(E11:E18)</f>
        <v>3179</v>
      </c>
      <c r="F20" s="10">
        <f>SUM(F11:F19)</f>
        <v>13011</v>
      </c>
      <c r="G20" s="10">
        <f>SUM(G11:G19)</f>
        <v>11545</v>
      </c>
      <c r="H20" s="10">
        <f>SUM(H11:H19)</f>
        <v>12829</v>
      </c>
      <c r="I20" s="10"/>
      <c r="J20" s="10"/>
      <c r="K20" s="41"/>
      <c r="L20" s="41"/>
    </row>
    <row r="21" spans="1:12" x14ac:dyDescent="0.25">
      <c r="A21" s="40"/>
      <c r="H21" s="10"/>
      <c r="I21" s="10"/>
      <c r="J21" s="10"/>
      <c r="K21" s="39"/>
      <c r="L21" s="39"/>
    </row>
    <row r="22" spans="1:12" x14ac:dyDescent="0.25">
      <c r="A22" s="27" t="s">
        <v>1046</v>
      </c>
      <c r="B22" s="128">
        <v>17348.82</v>
      </c>
      <c r="I22" s="10"/>
      <c r="J22" s="10"/>
      <c r="K22" s="38"/>
      <c r="L22" s="38"/>
    </row>
    <row r="23" spans="1:12" x14ac:dyDescent="0.25">
      <c r="I23" s="10"/>
      <c r="J23" s="10"/>
      <c r="K23" s="39"/>
      <c r="L23" s="39"/>
    </row>
    <row r="24" spans="1:12" x14ac:dyDescent="0.25">
      <c r="A24" s="13"/>
      <c r="I24" s="10"/>
      <c r="J24" s="10"/>
      <c r="K24" s="39"/>
      <c r="L24" s="39"/>
    </row>
    <row r="25" spans="1:12" x14ac:dyDescent="0.25">
      <c r="I25" s="10"/>
      <c r="J25" s="10"/>
      <c r="K25" s="39"/>
      <c r="L25" s="39"/>
    </row>
    <row r="26" spans="1:12" x14ac:dyDescent="0.25">
      <c r="I26" s="10"/>
      <c r="J26" s="10"/>
      <c r="K26" s="39"/>
      <c r="L26" s="39"/>
    </row>
    <row r="27" spans="1:12" x14ac:dyDescent="0.25">
      <c r="I27" s="10"/>
      <c r="J27" s="10"/>
      <c r="K27" s="39"/>
      <c r="L27" s="39"/>
    </row>
    <row r="28" spans="1:12" x14ac:dyDescent="0.25">
      <c r="I28" s="10"/>
      <c r="J28" s="10"/>
      <c r="K28" s="38"/>
      <c r="L28" s="38"/>
    </row>
    <row r="29" spans="1:12" x14ac:dyDescent="0.25">
      <c r="I29" s="10"/>
      <c r="J29" s="10"/>
      <c r="K29" s="38"/>
      <c r="L29" s="38"/>
    </row>
    <row r="30" spans="1:12" x14ac:dyDescent="0.25">
      <c r="I30" s="10"/>
      <c r="J30" s="10"/>
      <c r="K30" s="39"/>
      <c r="L30" s="39"/>
    </row>
    <row r="31" spans="1:12" x14ac:dyDescent="0.25">
      <c r="I31" s="10"/>
      <c r="J31" s="10"/>
      <c r="K31" s="39"/>
      <c r="L31" s="39"/>
    </row>
    <row r="32" spans="1:12" x14ac:dyDescent="0.25">
      <c r="I32" s="10"/>
      <c r="J32" s="10"/>
      <c r="K32" s="38"/>
      <c r="L32" s="38"/>
    </row>
    <row r="33" spans="1:12" x14ac:dyDescent="0.25">
      <c r="I33" s="10"/>
      <c r="J33" s="10"/>
      <c r="K33" s="39"/>
      <c r="L33" s="39"/>
    </row>
    <row r="34" spans="1:12" x14ac:dyDescent="0.25">
      <c r="I34" s="10"/>
      <c r="J34" s="10"/>
      <c r="K34" s="39"/>
      <c r="L34" s="39"/>
    </row>
    <row r="35" spans="1:12" x14ac:dyDescent="0.25">
      <c r="I35" s="10"/>
      <c r="J35" s="10"/>
      <c r="K35" s="38"/>
      <c r="L35" s="38"/>
    </row>
    <row r="36" spans="1:12" x14ac:dyDescent="0.25">
      <c r="I36" s="10"/>
      <c r="J36" s="10"/>
      <c r="K36" s="38"/>
      <c r="L36" s="38"/>
    </row>
    <row r="37" spans="1:12" x14ac:dyDescent="0.25">
      <c r="I37" s="10"/>
      <c r="J37" s="10"/>
      <c r="K37" s="38"/>
      <c r="L37" s="38"/>
    </row>
    <row r="38" spans="1:12" x14ac:dyDescent="0.25">
      <c r="I38" s="10"/>
      <c r="J38" s="10"/>
      <c r="K38" s="38"/>
      <c r="L38" s="38"/>
    </row>
    <row r="39" spans="1:12" x14ac:dyDescent="0.25">
      <c r="I39" s="10"/>
      <c r="J39" s="10"/>
      <c r="K39" s="38"/>
      <c r="L39" s="38"/>
    </row>
    <row r="40" spans="1:12" x14ac:dyDescent="0.25">
      <c r="I40" s="10"/>
      <c r="J40" s="10"/>
      <c r="K40" s="39"/>
      <c r="L40" s="39"/>
    </row>
    <row r="41" spans="1:12" x14ac:dyDescent="0.25">
      <c r="B41" s="27"/>
      <c r="I41" s="10"/>
      <c r="J41" s="10"/>
      <c r="K41" s="39"/>
      <c r="L41" s="39"/>
    </row>
    <row r="42" spans="1:12" x14ac:dyDescent="0.25">
      <c r="I42" s="10"/>
      <c r="J42" s="10"/>
      <c r="K42" s="39"/>
      <c r="L42" s="39"/>
    </row>
    <row r="43" spans="1:12" x14ac:dyDescent="0.25">
      <c r="I43" s="10"/>
      <c r="J43" s="10"/>
      <c r="K43" s="39"/>
      <c r="L43" s="39"/>
    </row>
    <row r="44" spans="1:12" x14ac:dyDescent="0.25">
      <c r="A44" s="27"/>
      <c r="B44" s="27"/>
      <c r="I44" s="10"/>
      <c r="J44" s="10"/>
      <c r="K44" s="39"/>
      <c r="L44" s="39"/>
    </row>
    <row r="45" spans="1:12" x14ac:dyDescent="0.25">
      <c r="I45" s="10"/>
      <c r="J45" s="10"/>
      <c r="K45" s="39"/>
      <c r="L45" s="39"/>
    </row>
    <row r="46" spans="1:12" x14ac:dyDescent="0.25">
      <c r="I46" s="10"/>
      <c r="J46" s="10"/>
      <c r="K46" s="39"/>
      <c r="L46" s="39"/>
    </row>
    <row r="47" spans="1:12" x14ac:dyDescent="0.25">
      <c r="I47" s="10"/>
      <c r="J47" s="10"/>
      <c r="K47" s="39"/>
      <c r="L47" s="39"/>
    </row>
    <row r="48" spans="1:12" x14ac:dyDescent="0.25">
      <c r="A48" s="33"/>
      <c r="B48" s="25"/>
      <c r="I48" s="10"/>
      <c r="J48" s="10"/>
      <c r="K48" s="41"/>
      <c r="L48" s="41"/>
    </row>
    <row r="49" spans="1:10" x14ac:dyDescent="0.25">
      <c r="A49" s="40"/>
      <c r="I49" s="10"/>
      <c r="J49" s="10"/>
    </row>
    <row r="50" spans="1:10" x14ac:dyDescent="0.25">
      <c r="A50" s="33"/>
    </row>
  </sheetData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2"/>
  <sheetViews>
    <sheetView topLeftCell="A25" zoomScaleNormal="100" workbookViewId="0">
      <selection activeCell="B44" sqref="B44"/>
    </sheetView>
  </sheetViews>
  <sheetFormatPr defaultRowHeight="13.2" x14ac:dyDescent="0.25"/>
  <cols>
    <col min="1" max="1" width="18.33203125" customWidth="1"/>
    <col min="2" max="2" width="34.88671875" customWidth="1"/>
    <col min="3" max="9" width="11.6640625" customWidth="1"/>
  </cols>
  <sheetData>
    <row r="1" spans="1:9" ht="15.6" x14ac:dyDescent="0.3">
      <c r="B1" s="14" t="s">
        <v>480</v>
      </c>
      <c r="C1" s="1">
        <v>2020</v>
      </c>
      <c r="D1" s="1">
        <v>2019</v>
      </c>
      <c r="E1" s="42">
        <v>2019</v>
      </c>
      <c r="F1" s="42">
        <v>2018</v>
      </c>
      <c r="G1" s="42">
        <v>2018</v>
      </c>
      <c r="H1" s="42">
        <v>2017</v>
      </c>
      <c r="I1" s="42">
        <v>2016</v>
      </c>
    </row>
    <row r="2" spans="1:9" ht="15.6" x14ac:dyDescent="0.3">
      <c r="B2" s="14"/>
      <c r="C2" s="1" t="s">
        <v>506</v>
      </c>
      <c r="D2" s="1" t="s">
        <v>1206</v>
      </c>
      <c r="E2" s="42" t="s">
        <v>506</v>
      </c>
      <c r="F2" s="42" t="s">
        <v>807</v>
      </c>
      <c r="G2" s="42" t="s">
        <v>506</v>
      </c>
      <c r="H2" s="42" t="s">
        <v>807</v>
      </c>
      <c r="I2" s="42" t="s">
        <v>807</v>
      </c>
    </row>
    <row r="3" spans="1:9" ht="15.6" x14ac:dyDescent="0.3">
      <c r="A3" s="27" t="s">
        <v>78</v>
      </c>
      <c r="B3" s="14"/>
      <c r="C3" s="14"/>
      <c r="D3" s="14"/>
      <c r="E3" s="14"/>
      <c r="F3" s="14"/>
      <c r="G3" s="14"/>
      <c r="H3" s="14"/>
      <c r="I3" s="42"/>
    </row>
    <row r="4" spans="1:9" x14ac:dyDescent="0.25">
      <c r="A4" s="27" t="s">
        <v>980</v>
      </c>
      <c r="B4" s="27" t="s">
        <v>981</v>
      </c>
      <c r="C4" s="57">
        <v>0</v>
      </c>
      <c r="D4" s="57">
        <v>0</v>
      </c>
      <c r="E4" s="57">
        <v>0</v>
      </c>
      <c r="F4" s="57">
        <v>0</v>
      </c>
      <c r="G4" s="57">
        <v>0</v>
      </c>
      <c r="H4" s="57">
        <v>0</v>
      </c>
      <c r="I4" s="113">
        <v>200</v>
      </c>
    </row>
    <row r="5" spans="1:9" x14ac:dyDescent="0.25">
      <c r="A5" s="27" t="s">
        <v>970</v>
      </c>
      <c r="B5" s="27" t="s">
        <v>469</v>
      </c>
      <c r="C5" s="173">
        <v>2800</v>
      </c>
      <c r="D5" s="57">
        <v>2440</v>
      </c>
      <c r="E5" s="57">
        <v>1800</v>
      </c>
      <c r="F5" s="57">
        <v>2100</v>
      </c>
      <c r="G5" s="57">
        <v>1800</v>
      </c>
      <c r="H5" s="57">
        <v>2170</v>
      </c>
      <c r="I5" s="113">
        <v>2520</v>
      </c>
    </row>
    <row r="6" spans="1:9" x14ac:dyDescent="0.25">
      <c r="A6" s="27" t="s">
        <v>979</v>
      </c>
      <c r="B6" s="27" t="s">
        <v>666</v>
      </c>
      <c r="C6" s="57">
        <v>300</v>
      </c>
      <c r="D6" s="57">
        <v>300</v>
      </c>
      <c r="E6" s="57">
        <v>300</v>
      </c>
      <c r="F6" s="57">
        <v>300</v>
      </c>
      <c r="G6" s="57">
        <v>600</v>
      </c>
      <c r="H6" s="57">
        <v>300</v>
      </c>
      <c r="I6" s="113">
        <v>300</v>
      </c>
    </row>
    <row r="7" spans="1:9" x14ac:dyDescent="0.25">
      <c r="A7" s="27" t="s">
        <v>971</v>
      </c>
      <c r="B7" s="27" t="s">
        <v>972</v>
      </c>
      <c r="C7" s="173">
        <v>2000</v>
      </c>
      <c r="D7" s="57">
        <v>2270</v>
      </c>
      <c r="E7" s="57">
        <v>1200</v>
      </c>
      <c r="F7" s="57">
        <v>1800</v>
      </c>
      <c r="G7" s="57">
        <v>1000</v>
      </c>
      <c r="H7" s="57">
        <v>800</v>
      </c>
      <c r="I7" s="113">
        <v>3450</v>
      </c>
    </row>
    <row r="8" spans="1:9" x14ac:dyDescent="0.25">
      <c r="A8" s="27" t="s">
        <v>973</v>
      </c>
      <c r="B8" s="27" t="s">
        <v>1273</v>
      </c>
      <c r="C8" s="57">
        <v>200</v>
      </c>
      <c r="D8" s="57">
        <v>200</v>
      </c>
      <c r="E8" s="57">
        <v>0</v>
      </c>
      <c r="F8" s="57">
        <v>200</v>
      </c>
      <c r="G8" s="57">
        <v>0</v>
      </c>
      <c r="H8" s="57">
        <v>200</v>
      </c>
      <c r="I8" s="113">
        <v>200</v>
      </c>
    </row>
    <row r="9" spans="1:9" x14ac:dyDescent="0.25">
      <c r="A9" s="27" t="s">
        <v>974</v>
      </c>
      <c r="B9" s="27" t="s">
        <v>472</v>
      </c>
      <c r="C9" s="57">
        <v>0</v>
      </c>
      <c r="D9" s="57">
        <v>650</v>
      </c>
      <c r="E9" s="57">
        <v>0</v>
      </c>
      <c r="F9" s="57">
        <v>0</v>
      </c>
      <c r="G9" s="57">
        <v>0</v>
      </c>
      <c r="H9" s="57">
        <v>10</v>
      </c>
      <c r="I9" s="113">
        <v>20</v>
      </c>
    </row>
    <row r="10" spans="1:9" x14ac:dyDescent="0.25">
      <c r="A10" s="27" t="s">
        <v>975</v>
      </c>
      <c r="B10" s="27" t="s">
        <v>976</v>
      </c>
      <c r="C10" s="57">
        <v>0</v>
      </c>
      <c r="D10" s="57">
        <v>13.25</v>
      </c>
      <c r="E10" s="57">
        <v>0</v>
      </c>
      <c r="F10" s="57">
        <v>0</v>
      </c>
      <c r="G10" s="57">
        <v>0</v>
      </c>
      <c r="H10" s="57">
        <v>0</v>
      </c>
      <c r="I10" s="113">
        <v>10</v>
      </c>
    </row>
    <row r="11" spans="1:9" x14ac:dyDescent="0.25">
      <c r="A11" s="27" t="s">
        <v>1220</v>
      </c>
      <c r="B11" s="27" t="s">
        <v>969</v>
      </c>
      <c r="C11" s="57">
        <v>0</v>
      </c>
      <c r="D11" s="57">
        <v>2000</v>
      </c>
      <c r="E11" s="57">
        <v>0</v>
      </c>
      <c r="F11" s="57">
        <v>0</v>
      </c>
      <c r="G11" s="57">
        <v>0</v>
      </c>
      <c r="H11" s="57">
        <v>0</v>
      </c>
      <c r="I11" s="113">
        <v>0</v>
      </c>
    </row>
    <row r="12" spans="1:9" x14ac:dyDescent="0.25">
      <c r="A12" s="27" t="s">
        <v>982</v>
      </c>
      <c r="B12" s="27" t="s">
        <v>794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113">
        <v>0</v>
      </c>
    </row>
    <row r="13" spans="1:9" x14ac:dyDescent="0.25">
      <c r="A13" s="27" t="s">
        <v>977</v>
      </c>
      <c r="B13" s="27" t="s">
        <v>978</v>
      </c>
      <c r="C13" s="57">
        <v>6000</v>
      </c>
      <c r="D13" s="57">
        <v>7168.89</v>
      </c>
      <c r="E13" s="57">
        <v>6000</v>
      </c>
      <c r="F13" s="57">
        <v>5148.71</v>
      </c>
      <c r="G13" s="57">
        <v>6000</v>
      </c>
      <c r="H13" s="57">
        <v>4729.26</v>
      </c>
      <c r="I13" s="113">
        <v>5403.77</v>
      </c>
    </row>
    <row r="14" spans="1:9" x14ac:dyDescent="0.25">
      <c r="A14" s="27"/>
      <c r="B14" s="27"/>
      <c r="C14" s="57"/>
      <c r="D14" s="57"/>
      <c r="E14" s="57"/>
      <c r="F14" s="57"/>
      <c r="G14" s="57"/>
      <c r="H14" s="57"/>
      <c r="I14" s="113"/>
    </row>
    <row r="15" spans="1:9" x14ac:dyDescent="0.25">
      <c r="A15" s="27"/>
      <c r="B15" s="30" t="s">
        <v>58</v>
      </c>
      <c r="C15" s="112">
        <f>SUM(C4:C13)</f>
        <v>11300</v>
      </c>
      <c r="D15" s="112">
        <f>SUM(D4:D13)</f>
        <v>15042.14</v>
      </c>
      <c r="E15" s="112">
        <f>SUM(E4:E13)</f>
        <v>9300</v>
      </c>
      <c r="F15" s="112">
        <f>SUM(F4:F13)</f>
        <v>9548.7099999999991</v>
      </c>
      <c r="G15" s="112">
        <f>SUM(G4:G14)</f>
        <v>9400</v>
      </c>
      <c r="H15" s="112">
        <f>SUM(H4:H14)</f>
        <v>8209.26</v>
      </c>
      <c r="I15" s="113">
        <f>SUM(I5:I13)</f>
        <v>11903.77</v>
      </c>
    </row>
    <row r="16" spans="1:9" ht="15" x14ac:dyDescent="0.25">
      <c r="B16" s="43"/>
      <c r="C16" s="63"/>
      <c r="D16" s="63"/>
      <c r="E16" s="63"/>
      <c r="F16" s="63"/>
      <c r="G16" s="63"/>
      <c r="H16" s="63"/>
      <c r="I16" s="42"/>
    </row>
    <row r="17" spans="1:9" x14ac:dyDescent="0.25">
      <c r="A17" t="s">
        <v>79</v>
      </c>
      <c r="C17" s="10"/>
      <c r="D17" s="10"/>
      <c r="E17" s="10"/>
      <c r="F17" s="10"/>
      <c r="G17" s="10"/>
      <c r="H17" s="10"/>
      <c r="I17" s="42"/>
    </row>
    <row r="18" spans="1:9" x14ac:dyDescent="0.25">
      <c r="A18" t="s">
        <v>192</v>
      </c>
      <c r="C18" s="10"/>
      <c r="D18" s="10"/>
      <c r="E18" s="10"/>
      <c r="F18" s="10"/>
      <c r="G18" s="10"/>
      <c r="H18" s="10"/>
    </row>
    <row r="19" spans="1:9" x14ac:dyDescent="0.25">
      <c r="A19" t="s">
        <v>96</v>
      </c>
      <c r="B19" t="s">
        <v>98</v>
      </c>
      <c r="C19" s="159">
        <f>54038.4+45864+70000</f>
        <v>169902.4</v>
      </c>
      <c r="D19" s="10">
        <v>103226.84</v>
      </c>
      <c r="E19" s="10">
        <f>53048.32+44075.2+51438.4</f>
        <v>148561.91999999998</v>
      </c>
      <c r="F19" s="10">
        <v>112602.22</v>
      </c>
      <c r="G19" s="10">
        <f>49920+42369.6+60000</f>
        <v>152289.60000000001</v>
      </c>
      <c r="H19" s="10">
        <v>83535.98</v>
      </c>
      <c r="I19" s="10">
        <v>81162.53</v>
      </c>
    </row>
    <row r="20" spans="1:9" x14ac:dyDescent="0.25">
      <c r="A20" t="s">
        <v>97</v>
      </c>
      <c r="B20" t="s">
        <v>99</v>
      </c>
      <c r="C20" s="10">
        <v>500</v>
      </c>
      <c r="D20" s="10">
        <v>675.44</v>
      </c>
      <c r="E20" s="10">
        <v>500</v>
      </c>
      <c r="F20" s="10">
        <v>435.37</v>
      </c>
      <c r="G20" s="10">
        <v>500</v>
      </c>
      <c r="H20" s="10">
        <v>675.55</v>
      </c>
      <c r="I20" s="10">
        <v>647.35</v>
      </c>
    </row>
    <row r="21" spans="1:9" x14ac:dyDescent="0.25">
      <c r="A21" t="s">
        <v>193</v>
      </c>
      <c r="B21" t="s">
        <v>47</v>
      </c>
      <c r="C21" s="10">
        <f>11099.4+6593.6</f>
        <v>17693</v>
      </c>
      <c r="D21" s="10">
        <v>13000.34</v>
      </c>
      <c r="E21" s="10">
        <f>10670.4+9219.6</f>
        <v>19890</v>
      </c>
      <c r="F21" s="10">
        <v>12608.7</v>
      </c>
      <c r="G21" s="10">
        <f>9952.8+6084</f>
        <v>16036.8</v>
      </c>
      <c r="H21" s="10">
        <v>16427.41</v>
      </c>
      <c r="I21" s="10">
        <v>13222.36</v>
      </c>
    </row>
    <row r="22" spans="1:9" x14ac:dyDescent="0.25">
      <c r="A22" t="s">
        <v>841</v>
      </c>
      <c r="B22" t="s">
        <v>711</v>
      </c>
      <c r="C22" s="10">
        <v>1000</v>
      </c>
      <c r="D22" s="10">
        <v>1990.44</v>
      </c>
      <c r="E22" s="10">
        <v>1000</v>
      </c>
      <c r="F22" s="10">
        <v>943.04</v>
      </c>
      <c r="G22" s="10">
        <v>1000</v>
      </c>
      <c r="H22" s="10">
        <v>1971.92</v>
      </c>
      <c r="I22" s="10">
        <v>1396.34</v>
      </c>
    </row>
    <row r="23" spans="1:9" x14ac:dyDescent="0.25">
      <c r="A23" s="13" t="s">
        <v>514</v>
      </c>
      <c r="B23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9" x14ac:dyDescent="0.25">
      <c r="A24" t="s">
        <v>188</v>
      </c>
      <c r="C24" s="10"/>
      <c r="D24" s="10"/>
      <c r="E24" s="10"/>
      <c r="F24" s="10"/>
      <c r="G24" s="10"/>
      <c r="H24" s="10"/>
      <c r="I24" s="10"/>
    </row>
    <row r="25" spans="1:9" x14ac:dyDescent="0.25">
      <c r="A25" t="s">
        <v>189</v>
      </c>
      <c r="B25" t="s">
        <v>190</v>
      </c>
      <c r="C25" s="10">
        <f>0.075*SUM(C19:C23)</f>
        <v>14182.154999999999</v>
      </c>
      <c r="D25" s="10">
        <v>8710.77</v>
      </c>
      <c r="E25" s="10">
        <f>0.075*SUM(E19:E23)</f>
        <v>12746.393999999998</v>
      </c>
      <c r="F25" s="10">
        <v>9166.82</v>
      </c>
      <c r="G25" s="10">
        <f>0.075*SUM(G19:G22)</f>
        <v>12736.98</v>
      </c>
      <c r="H25" s="10">
        <v>7189.91</v>
      </c>
      <c r="I25" s="10">
        <v>7318.75</v>
      </c>
    </row>
    <row r="26" spans="1:9" x14ac:dyDescent="0.25">
      <c r="A26" t="s">
        <v>101</v>
      </c>
      <c r="B26" t="s">
        <v>82</v>
      </c>
      <c r="C26" s="10">
        <f>0.062*SUM(C19:C23)</f>
        <v>11723.914799999999</v>
      </c>
      <c r="D26" s="10">
        <v>6824.47</v>
      </c>
      <c r="E26" s="10">
        <f>0.062*SUM(E19:E23)</f>
        <v>10537.019039999999</v>
      </c>
      <c r="F26" s="10">
        <v>7185.75</v>
      </c>
      <c r="G26" s="10">
        <f>0.062*SUM(G19:G23)</f>
        <v>10529.236799999999</v>
      </c>
      <c r="H26" s="10">
        <v>6088.23</v>
      </c>
      <c r="I26" s="10">
        <v>6019.45</v>
      </c>
    </row>
    <row r="27" spans="1:9" x14ac:dyDescent="0.25">
      <c r="A27" t="s">
        <v>102</v>
      </c>
      <c r="B27" t="s">
        <v>84</v>
      </c>
      <c r="C27" s="10">
        <f>0.0145*SUM(C19:C23)</f>
        <v>2741.8833</v>
      </c>
      <c r="D27" s="10">
        <v>1596.11</v>
      </c>
      <c r="E27" s="10">
        <f>0.0145*SUM(E19:E23)</f>
        <v>2464.3028399999998</v>
      </c>
      <c r="F27" s="10">
        <v>1680.53</v>
      </c>
      <c r="G27" s="10">
        <f>0.0145*SUM(G19:G23)</f>
        <v>2462.4828000000002</v>
      </c>
      <c r="H27" s="10">
        <v>1423.9</v>
      </c>
      <c r="I27" s="10">
        <v>1408.03</v>
      </c>
    </row>
    <row r="28" spans="1:9" x14ac:dyDescent="0.25">
      <c r="A28" t="s">
        <v>183</v>
      </c>
      <c r="C28" s="10"/>
      <c r="D28" s="10"/>
      <c r="E28" s="10"/>
      <c r="F28" s="10"/>
      <c r="G28" s="10"/>
      <c r="H28" s="10"/>
      <c r="I28" s="10"/>
    </row>
    <row r="29" spans="1:9" x14ac:dyDescent="0.25">
      <c r="A29" t="s">
        <v>184</v>
      </c>
      <c r="B29" t="s">
        <v>185</v>
      </c>
      <c r="C29" s="10">
        <f>22800+22800+22800+8550</f>
        <v>76950</v>
      </c>
      <c r="D29" s="10">
        <v>25487.27</v>
      </c>
      <c r="E29" s="10">
        <f>11400+11400+11400+4275</f>
        <v>38475</v>
      </c>
      <c r="F29" s="10">
        <v>25965.54</v>
      </c>
      <c r="G29" s="10">
        <f>10800+10800+6750+10800</f>
        <v>39150</v>
      </c>
      <c r="H29" s="10">
        <v>23339.56</v>
      </c>
      <c r="I29" s="10">
        <v>21121.69</v>
      </c>
    </row>
    <row r="30" spans="1:9" x14ac:dyDescent="0.25">
      <c r="A30" t="s">
        <v>186</v>
      </c>
      <c r="B30" t="s">
        <v>187</v>
      </c>
      <c r="C30" s="10">
        <f>795+795+795+298</f>
        <v>2683</v>
      </c>
      <c r="D30" s="10">
        <v>2040.92</v>
      </c>
      <c r="E30" s="10">
        <f>765+765+765+291</f>
        <v>2586</v>
      </c>
      <c r="F30" s="10">
        <v>2048.1799999999998</v>
      </c>
      <c r="G30" s="10">
        <f>734.64+734.64+279.49+734.64</f>
        <v>2483.41</v>
      </c>
      <c r="H30" s="10">
        <v>1722.4</v>
      </c>
      <c r="I30" s="10">
        <v>1505.29</v>
      </c>
    </row>
    <row r="31" spans="1:9" x14ac:dyDescent="0.25">
      <c r="A31" s="27" t="s">
        <v>721</v>
      </c>
      <c r="B31" s="27" t="s">
        <v>722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</row>
    <row r="32" spans="1:9" x14ac:dyDescent="0.25">
      <c r="A32" t="s">
        <v>43</v>
      </c>
      <c r="C32" s="10"/>
      <c r="D32" s="10"/>
      <c r="E32" s="10"/>
      <c r="F32" s="10"/>
      <c r="G32" s="10"/>
      <c r="H32" s="10"/>
      <c r="I32" s="10"/>
    </row>
    <row r="33" spans="1:11" x14ac:dyDescent="0.25">
      <c r="A33" t="s">
        <v>181</v>
      </c>
      <c r="B33" t="s">
        <v>182</v>
      </c>
      <c r="C33" s="10">
        <v>1500</v>
      </c>
      <c r="D33" s="10">
        <v>1278</v>
      </c>
      <c r="E33" s="10">
        <v>1500</v>
      </c>
      <c r="F33" s="10">
        <v>1434.57</v>
      </c>
      <c r="G33" s="10">
        <v>800</v>
      </c>
      <c r="H33" s="10">
        <v>985.85</v>
      </c>
      <c r="I33" s="10">
        <v>785</v>
      </c>
    </row>
    <row r="34" spans="1:11" x14ac:dyDescent="0.25">
      <c r="A34" t="s">
        <v>33</v>
      </c>
      <c r="C34" s="10"/>
      <c r="D34" s="10"/>
      <c r="E34" s="10"/>
      <c r="F34" s="10"/>
      <c r="G34" s="10"/>
      <c r="H34" s="10"/>
      <c r="I34" s="10"/>
    </row>
    <row r="35" spans="1:11" x14ac:dyDescent="0.25">
      <c r="A35" t="s">
        <v>41</v>
      </c>
      <c r="B35" t="s">
        <v>42</v>
      </c>
      <c r="C35" s="159">
        <v>1700</v>
      </c>
      <c r="D35" s="10">
        <v>1780.24</v>
      </c>
      <c r="E35" s="10">
        <v>1500</v>
      </c>
      <c r="F35" s="10">
        <v>1686.66</v>
      </c>
      <c r="G35" s="10">
        <v>1500</v>
      </c>
      <c r="H35" s="10">
        <v>1516.74</v>
      </c>
      <c r="I35" s="10">
        <v>1939.35</v>
      </c>
    </row>
    <row r="36" spans="1:11" x14ac:dyDescent="0.25">
      <c r="A36" t="s">
        <v>149</v>
      </c>
      <c r="C36" s="10"/>
      <c r="D36" s="10"/>
      <c r="E36" s="10"/>
      <c r="F36" s="10"/>
      <c r="G36" s="10"/>
      <c r="H36" s="10"/>
      <c r="I36" s="10"/>
      <c r="K36" s="27"/>
    </row>
    <row r="37" spans="1:11" x14ac:dyDescent="0.25">
      <c r="A37" t="s">
        <v>150</v>
      </c>
      <c r="B37" t="s">
        <v>151</v>
      </c>
      <c r="C37" s="10">
        <v>1000</v>
      </c>
      <c r="D37" s="10">
        <v>1155.01</v>
      </c>
      <c r="E37" s="10">
        <v>1000</v>
      </c>
      <c r="F37" s="10">
        <v>987.86</v>
      </c>
      <c r="G37" s="10">
        <v>1000</v>
      </c>
      <c r="H37" s="10">
        <v>815.03</v>
      </c>
      <c r="I37" s="10">
        <v>526.29</v>
      </c>
    </row>
    <row r="38" spans="1:11" x14ac:dyDescent="0.25">
      <c r="A38" s="13" t="s">
        <v>515</v>
      </c>
      <c r="B38" t="s">
        <v>522</v>
      </c>
      <c r="C38" s="10">
        <v>250</v>
      </c>
      <c r="D38" s="10">
        <v>273.76</v>
      </c>
      <c r="E38" s="10">
        <v>0</v>
      </c>
      <c r="F38" s="10">
        <v>48.65</v>
      </c>
      <c r="G38" s="10">
        <v>0</v>
      </c>
      <c r="H38" s="10">
        <v>177.71</v>
      </c>
      <c r="I38" s="10">
        <v>0</v>
      </c>
    </row>
    <row r="39" spans="1:11" x14ac:dyDescent="0.25">
      <c r="A39" s="27" t="s">
        <v>23</v>
      </c>
      <c r="C39" s="10"/>
      <c r="D39" s="10"/>
      <c r="E39" s="10"/>
      <c r="F39" s="10"/>
      <c r="G39" s="10"/>
      <c r="H39" s="10"/>
      <c r="I39" s="10"/>
    </row>
    <row r="40" spans="1:11" x14ac:dyDescent="0.25">
      <c r="A40" s="13" t="s">
        <v>516</v>
      </c>
      <c r="B40" t="s">
        <v>141</v>
      </c>
      <c r="C40" s="159">
        <v>200</v>
      </c>
      <c r="D40" s="10">
        <v>48.15</v>
      </c>
      <c r="E40" s="10">
        <v>400</v>
      </c>
      <c r="F40" s="10">
        <v>47.14</v>
      </c>
      <c r="G40" s="10">
        <v>400</v>
      </c>
      <c r="H40" s="10">
        <v>63.68</v>
      </c>
      <c r="I40" s="10">
        <v>545.01</v>
      </c>
    </row>
    <row r="41" spans="1:11" x14ac:dyDescent="0.25">
      <c r="A41" s="13" t="s">
        <v>535</v>
      </c>
      <c r="B41" s="13" t="s">
        <v>536</v>
      </c>
      <c r="C41" s="176">
        <v>200</v>
      </c>
      <c r="D41" s="21">
        <v>204.23</v>
      </c>
      <c r="E41" s="21">
        <v>0</v>
      </c>
      <c r="F41" s="21">
        <v>275</v>
      </c>
      <c r="G41" s="21">
        <v>0</v>
      </c>
      <c r="H41" s="21">
        <v>2193.5</v>
      </c>
      <c r="I41" s="21">
        <v>0</v>
      </c>
    </row>
    <row r="42" spans="1:11" x14ac:dyDescent="0.25">
      <c r="A42" s="27" t="s">
        <v>6</v>
      </c>
      <c r="C42" s="10"/>
      <c r="D42" s="10"/>
      <c r="E42" s="10"/>
      <c r="F42" s="10"/>
      <c r="G42" s="10"/>
      <c r="H42" s="10"/>
      <c r="I42" s="10"/>
    </row>
    <row r="43" spans="1:11" x14ac:dyDescent="0.25">
      <c r="A43" t="s">
        <v>7</v>
      </c>
      <c r="B43" t="s">
        <v>8</v>
      </c>
      <c r="C43" s="10">
        <v>18600</v>
      </c>
      <c r="D43" s="10">
        <v>18350</v>
      </c>
      <c r="E43" s="10">
        <v>18600</v>
      </c>
      <c r="F43" s="10">
        <v>18580</v>
      </c>
      <c r="G43" s="10">
        <v>16200</v>
      </c>
      <c r="H43" s="10">
        <v>12070</v>
      </c>
      <c r="I43" s="10">
        <v>18660</v>
      </c>
    </row>
    <row r="44" spans="1:11" x14ac:dyDescent="0.25">
      <c r="A44" t="s">
        <v>9</v>
      </c>
      <c r="B44" t="s">
        <v>10</v>
      </c>
      <c r="C44" s="10">
        <v>1000</v>
      </c>
      <c r="D44" s="10">
        <v>767.84</v>
      </c>
      <c r="E44" s="10">
        <v>1000</v>
      </c>
      <c r="F44" s="10">
        <v>547.29</v>
      </c>
      <c r="G44" s="10">
        <v>0</v>
      </c>
      <c r="H44" s="10">
        <v>0</v>
      </c>
      <c r="I44" s="10">
        <v>0</v>
      </c>
    </row>
    <row r="45" spans="1:11" x14ac:dyDescent="0.25">
      <c r="A45" t="s">
        <v>11</v>
      </c>
      <c r="B45" t="s">
        <v>12</v>
      </c>
      <c r="C45" s="10">
        <v>10000</v>
      </c>
      <c r="D45" s="10">
        <v>4142.25</v>
      </c>
      <c r="E45" s="10">
        <v>11000</v>
      </c>
      <c r="F45" s="10">
        <v>9282.65</v>
      </c>
      <c r="G45" s="10">
        <v>11000</v>
      </c>
      <c r="H45" s="10">
        <v>13485</v>
      </c>
      <c r="I45" s="10">
        <v>9600</v>
      </c>
    </row>
    <row r="46" spans="1:11" x14ac:dyDescent="0.25">
      <c r="A46" t="s">
        <v>13</v>
      </c>
      <c r="B46" t="s">
        <v>14</v>
      </c>
      <c r="C46" s="10">
        <v>1000</v>
      </c>
      <c r="D46" s="10">
        <v>904</v>
      </c>
      <c r="E46" s="10">
        <v>1000</v>
      </c>
      <c r="F46" s="10">
        <v>1014</v>
      </c>
      <c r="G46" s="10">
        <v>1000</v>
      </c>
      <c r="H46" s="10">
        <v>2285.4899999999998</v>
      </c>
      <c r="I46" s="10">
        <v>1015</v>
      </c>
    </row>
    <row r="47" spans="1:11" x14ac:dyDescent="0.25">
      <c r="A47" t="s">
        <v>16</v>
      </c>
      <c r="B47" t="s">
        <v>891</v>
      </c>
      <c r="C47" s="159">
        <v>7500</v>
      </c>
      <c r="D47" s="10">
        <v>14018</v>
      </c>
      <c r="E47" s="10">
        <v>3000</v>
      </c>
      <c r="F47" s="10">
        <v>-3915.5</v>
      </c>
      <c r="G47" s="10">
        <v>3000</v>
      </c>
      <c r="H47" s="10">
        <v>5036.6000000000004</v>
      </c>
      <c r="I47" s="10">
        <v>8091.86</v>
      </c>
    </row>
    <row r="48" spans="1:11" x14ac:dyDescent="0.25">
      <c r="A48" t="s">
        <v>5</v>
      </c>
      <c r="C48" s="10"/>
      <c r="D48" s="10"/>
      <c r="E48" s="10"/>
      <c r="F48" s="10"/>
      <c r="G48" s="10"/>
      <c r="H48" s="10"/>
      <c r="I48" s="10"/>
    </row>
    <row r="49" spans="1:9" x14ac:dyDescent="0.25">
      <c r="A49" t="s">
        <v>103</v>
      </c>
      <c r="B49" t="s">
        <v>89</v>
      </c>
      <c r="C49" s="159">
        <v>4500</v>
      </c>
      <c r="D49" s="10">
        <v>4002.99</v>
      </c>
      <c r="E49" s="10">
        <v>4000</v>
      </c>
      <c r="F49" s="10">
        <v>4743.34</v>
      </c>
      <c r="G49" s="10">
        <v>4000</v>
      </c>
      <c r="H49" s="10">
        <v>4284.1099999999997</v>
      </c>
      <c r="I49" s="10">
        <v>4122.7700000000004</v>
      </c>
    </row>
    <row r="50" spans="1:9" x14ac:dyDescent="0.25">
      <c r="A50" s="27" t="s">
        <v>136</v>
      </c>
      <c r="C50" s="10"/>
      <c r="D50" s="10"/>
      <c r="E50" s="10"/>
      <c r="F50" s="10"/>
      <c r="G50" s="10"/>
      <c r="H50" s="10"/>
      <c r="I50" s="10"/>
    </row>
    <row r="51" spans="1:9" x14ac:dyDescent="0.25">
      <c r="A51" t="s">
        <v>494</v>
      </c>
      <c r="B51" t="s">
        <v>137</v>
      </c>
      <c r="C51" s="10">
        <v>1500</v>
      </c>
      <c r="D51" s="10">
        <v>941.4</v>
      </c>
      <c r="E51" s="10">
        <v>1500</v>
      </c>
      <c r="F51" s="10">
        <v>1397.3</v>
      </c>
      <c r="G51" s="10">
        <v>1500</v>
      </c>
      <c r="H51" s="10">
        <v>1961.1</v>
      </c>
      <c r="I51" s="10">
        <v>859.2</v>
      </c>
    </row>
    <row r="52" spans="1:9" x14ac:dyDescent="0.25">
      <c r="A52" s="27" t="s">
        <v>134</v>
      </c>
      <c r="C52" s="10"/>
      <c r="D52" s="10"/>
      <c r="E52" s="10"/>
      <c r="F52" s="10"/>
      <c r="G52" s="10"/>
      <c r="H52" s="10"/>
      <c r="I52" s="10"/>
    </row>
    <row r="53" spans="1:9" x14ac:dyDescent="0.25">
      <c r="A53" t="s">
        <v>133</v>
      </c>
      <c r="B53" t="s">
        <v>135</v>
      </c>
      <c r="C53" s="10">
        <v>1000</v>
      </c>
      <c r="D53" s="10">
        <v>726.25</v>
      </c>
      <c r="E53" s="10">
        <v>1000</v>
      </c>
      <c r="F53" s="10">
        <v>1058</v>
      </c>
      <c r="G53" s="10">
        <v>1000</v>
      </c>
      <c r="H53" s="10">
        <v>2012.3</v>
      </c>
      <c r="I53" s="10">
        <v>1442.81</v>
      </c>
    </row>
    <row r="54" spans="1:9" x14ac:dyDescent="0.25">
      <c r="A54" s="27" t="s">
        <v>128</v>
      </c>
      <c r="C54" s="10"/>
      <c r="D54" s="10"/>
      <c r="E54" s="10"/>
      <c r="F54" s="10"/>
      <c r="G54" s="10"/>
      <c r="H54" s="10"/>
      <c r="I54" s="10"/>
    </row>
    <row r="55" spans="1:9" x14ac:dyDescent="0.25">
      <c r="A55" t="s">
        <v>104</v>
      </c>
      <c r="B55" t="s">
        <v>86</v>
      </c>
      <c r="C55" s="159">
        <v>16000</v>
      </c>
      <c r="D55" s="10">
        <v>15594.25</v>
      </c>
      <c r="E55" s="10">
        <v>15000</v>
      </c>
      <c r="F55" s="10">
        <v>14739</v>
      </c>
      <c r="G55" s="10">
        <v>18000</v>
      </c>
      <c r="H55" s="10">
        <v>14957.5</v>
      </c>
      <c r="I55" s="10">
        <v>15624</v>
      </c>
    </row>
    <row r="56" spans="1:9" x14ac:dyDescent="0.25">
      <c r="A56" t="s">
        <v>129</v>
      </c>
      <c r="B56" t="s">
        <v>130</v>
      </c>
      <c r="C56" s="159">
        <v>38000</v>
      </c>
      <c r="D56" s="10">
        <v>37629</v>
      </c>
      <c r="E56" s="10">
        <v>33000</v>
      </c>
      <c r="F56" s="10">
        <f>32475+65</f>
        <v>32540</v>
      </c>
      <c r="G56" s="10">
        <v>22000</v>
      </c>
      <c r="H56" s="10">
        <v>25897.5</v>
      </c>
      <c r="I56" s="10">
        <v>17613.5</v>
      </c>
    </row>
    <row r="57" spans="1:9" x14ac:dyDescent="0.25">
      <c r="A57" s="27" t="s">
        <v>121</v>
      </c>
      <c r="C57" s="10"/>
      <c r="D57" s="10"/>
      <c r="E57" s="10"/>
      <c r="F57" s="10"/>
      <c r="G57" s="10"/>
      <c r="H57" s="10"/>
      <c r="I57" s="10"/>
    </row>
    <row r="58" spans="1:9" x14ac:dyDescent="0.25">
      <c r="A58" t="s">
        <v>127</v>
      </c>
      <c r="B58" t="s">
        <v>122</v>
      </c>
      <c r="C58" s="10">
        <v>2000</v>
      </c>
      <c r="D58" s="10">
        <v>1792.91</v>
      </c>
      <c r="E58" s="10">
        <v>2000</v>
      </c>
      <c r="F58" s="10">
        <v>2137.63</v>
      </c>
      <c r="G58" s="10">
        <v>2000</v>
      </c>
      <c r="H58" s="10">
        <v>1973.61</v>
      </c>
      <c r="I58" s="10">
        <v>2017.9</v>
      </c>
    </row>
    <row r="59" spans="1:9" x14ac:dyDescent="0.25">
      <c r="A59" s="13" t="s">
        <v>517</v>
      </c>
      <c r="B59" s="13" t="s">
        <v>125</v>
      </c>
      <c r="C59" s="21">
        <v>1500</v>
      </c>
      <c r="D59" s="21">
        <v>1069.3499999999999</v>
      </c>
      <c r="E59" s="21">
        <v>1500</v>
      </c>
      <c r="F59" s="21">
        <v>1159.48</v>
      </c>
      <c r="G59" s="21">
        <v>1500</v>
      </c>
      <c r="H59" s="21">
        <v>1593.82</v>
      </c>
      <c r="I59" s="21">
        <v>1146.5</v>
      </c>
    </row>
    <row r="60" spans="1:9" x14ac:dyDescent="0.25">
      <c r="A60" s="27" t="s">
        <v>497</v>
      </c>
      <c r="C60" s="10"/>
      <c r="D60" s="10"/>
      <c r="E60" s="10"/>
      <c r="F60" s="10"/>
      <c r="G60" s="10"/>
      <c r="H60" s="10"/>
      <c r="I60" s="10"/>
    </row>
    <row r="61" spans="1:9" x14ac:dyDescent="0.25">
      <c r="A61" s="27" t="s">
        <v>1285</v>
      </c>
      <c r="B61" s="27" t="s">
        <v>1205</v>
      </c>
      <c r="C61" s="10">
        <v>0</v>
      </c>
      <c r="D61" s="10">
        <v>80704.08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</row>
    <row r="62" spans="1:9" x14ac:dyDescent="0.25">
      <c r="A62" s="13" t="s">
        <v>518</v>
      </c>
      <c r="B62" s="13" t="s">
        <v>519</v>
      </c>
      <c r="C62" s="21">
        <v>0</v>
      </c>
      <c r="D62" s="21">
        <v>5685</v>
      </c>
      <c r="E62" s="21">
        <v>0</v>
      </c>
      <c r="F62" s="21">
        <v>3281.74</v>
      </c>
      <c r="G62" s="21">
        <v>2000</v>
      </c>
      <c r="H62" s="21">
        <v>0</v>
      </c>
      <c r="I62" s="21">
        <v>0</v>
      </c>
    </row>
    <row r="63" spans="1:9" x14ac:dyDescent="0.25">
      <c r="A63" s="27" t="s">
        <v>116</v>
      </c>
      <c r="C63" s="10"/>
      <c r="D63" s="10"/>
      <c r="E63" s="10"/>
      <c r="F63" s="10"/>
      <c r="G63" s="10"/>
      <c r="H63" s="10"/>
      <c r="I63" s="10"/>
    </row>
    <row r="64" spans="1:9" x14ac:dyDescent="0.25">
      <c r="A64" s="13" t="s">
        <v>520</v>
      </c>
      <c r="B64" t="s">
        <v>117</v>
      </c>
      <c r="C64" s="10">
        <v>10000</v>
      </c>
      <c r="D64" s="10">
        <v>5075</v>
      </c>
      <c r="E64" s="10">
        <v>10000</v>
      </c>
      <c r="F64" s="10">
        <v>34.1</v>
      </c>
      <c r="G64" s="10">
        <v>2000</v>
      </c>
      <c r="H64" s="10">
        <v>3125.73</v>
      </c>
      <c r="I64" s="10">
        <v>3162.45</v>
      </c>
    </row>
    <row r="65" spans="1:9" x14ac:dyDescent="0.25">
      <c r="A65" s="27" t="s">
        <v>107</v>
      </c>
      <c r="C65" s="10"/>
      <c r="D65" s="10"/>
      <c r="E65" s="10"/>
      <c r="F65" s="10"/>
      <c r="G65" s="10"/>
      <c r="H65" s="10"/>
      <c r="I65" s="10"/>
    </row>
    <row r="66" spans="1:9" x14ac:dyDescent="0.25">
      <c r="A66" t="s">
        <v>105</v>
      </c>
      <c r="B66" t="s">
        <v>93</v>
      </c>
      <c r="C66" s="10">
        <v>3000</v>
      </c>
      <c r="D66" s="10">
        <v>2714.14</v>
      </c>
      <c r="E66" s="10">
        <v>3000</v>
      </c>
      <c r="F66" s="10">
        <v>2584.46</v>
      </c>
      <c r="G66" s="10">
        <v>3000</v>
      </c>
      <c r="H66" s="10">
        <v>2968.05</v>
      </c>
      <c r="I66" s="10">
        <v>2359.14</v>
      </c>
    </row>
    <row r="67" spans="1:9" x14ac:dyDescent="0.25">
      <c r="A67" t="s">
        <v>106</v>
      </c>
      <c r="B67" t="s">
        <v>91</v>
      </c>
      <c r="C67" s="10">
        <v>2500</v>
      </c>
      <c r="D67" s="10">
        <v>2226.91</v>
      </c>
      <c r="E67" s="10">
        <v>2500</v>
      </c>
      <c r="F67" s="10">
        <f>2707.44+12.99</f>
        <v>2720.43</v>
      </c>
      <c r="G67" s="10">
        <v>1000</v>
      </c>
      <c r="H67" s="10">
        <v>1240.08</v>
      </c>
      <c r="I67" s="10">
        <v>1389.71</v>
      </c>
    </row>
    <row r="68" spans="1:9" x14ac:dyDescent="0.25">
      <c r="B68" s="30"/>
      <c r="C68" s="112"/>
      <c r="D68" s="112"/>
      <c r="E68" s="112"/>
      <c r="F68" s="112"/>
      <c r="G68" s="112"/>
      <c r="H68" s="112"/>
      <c r="I68" s="112"/>
    </row>
    <row r="69" spans="1:9" x14ac:dyDescent="0.25">
      <c r="B69" s="30"/>
      <c r="C69" s="112"/>
      <c r="D69" s="112"/>
      <c r="E69" s="112"/>
      <c r="F69" s="112"/>
      <c r="G69" s="112"/>
      <c r="H69" s="112"/>
      <c r="I69" s="112"/>
    </row>
    <row r="70" spans="1:9" x14ac:dyDescent="0.25">
      <c r="B70" s="30"/>
      <c r="C70" s="112"/>
      <c r="D70" s="112"/>
      <c r="E70" s="112"/>
      <c r="F70" s="112"/>
      <c r="G70" s="112"/>
      <c r="H70" s="112"/>
      <c r="I70" s="112"/>
    </row>
    <row r="71" spans="1:9" x14ac:dyDescent="0.25">
      <c r="B71" s="30"/>
      <c r="C71" s="112"/>
      <c r="D71" s="112"/>
      <c r="E71" s="112"/>
      <c r="F71" s="112"/>
      <c r="G71" s="112"/>
      <c r="H71" s="112"/>
      <c r="I71" s="112"/>
    </row>
    <row r="72" spans="1:9" x14ac:dyDescent="0.25">
      <c r="C72" s="10"/>
      <c r="D72" s="10"/>
      <c r="E72" s="10"/>
      <c r="F72" s="10"/>
      <c r="G72" s="10"/>
      <c r="H72" s="10"/>
      <c r="I72" s="10"/>
    </row>
    <row r="73" spans="1:9" x14ac:dyDescent="0.25">
      <c r="A73" s="33"/>
      <c r="B73" s="25" t="s">
        <v>58</v>
      </c>
      <c r="C73" s="24">
        <f>SUM(C19:C67)</f>
        <v>420326.35309999995</v>
      </c>
      <c r="D73" s="24">
        <f>SUM(D19:D68)</f>
        <v>364635.35999999993</v>
      </c>
      <c r="E73" s="24">
        <f>SUM(E19:E67)</f>
        <v>349260.63587999996</v>
      </c>
      <c r="F73" s="24">
        <f>SUM(F19:F67)</f>
        <v>269019.95</v>
      </c>
      <c r="G73" s="24">
        <f>SUM(G19:G72)</f>
        <v>330088.50959999999</v>
      </c>
      <c r="H73" s="24">
        <f>SUM(H19:H72)</f>
        <v>241018.25999999992</v>
      </c>
      <c r="I73" s="24">
        <f>SUM(I19:I72)</f>
        <v>224702.28000000003</v>
      </c>
    </row>
    <row r="74" spans="1:9" x14ac:dyDescent="0.25">
      <c r="A74" s="40"/>
      <c r="I74" s="10"/>
    </row>
    <row r="75" spans="1:9" x14ac:dyDescent="0.25">
      <c r="A75" s="33"/>
    </row>
    <row r="76" spans="1:9" x14ac:dyDescent="0.25">
      <c r="A76" t="s">
        <v>769</v>
      </c>
    </row>
    <row r="77" spans="1:9" x14ac:dyDescent="0.25">
      <c r="A77" t="s">
        <v>770</v>
      </c>
    </row>
    <row r="78" spans="1:9" x14ac:dyDescent="0.25">
      <c r="A78" s="27" t="s">
        <v>1028</v>
      </c>
    </row>
    <row r="79" spans="1:9" x14ac:dyDescent="0.25">
      <c r="A79" s="27"/>
    </row>
    <row r="80" spans="1:9" x14ac:dyDescent="0.25">
      <c r="A80" s="129">
        <v>2020</v>
      </c>
    </row>
    <row r="81" spans="1:2" x14ac:dyDescent="0.25">
      <c r="A81" s="27" t="s">
        <v>1238</v>
      </c>
      <c r="B81" s="164">
        <v>10000</v>
      </c>
    </row>
    <row r="82" spans="1:2" x14ac:dyDescent="0.25">
      <c r="A82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83"/>
  <sheetViews>
    <sheetView workbookViewId="0">
      <selection sqref="A1:C75"/>
    </sheetView>
  </sheetViews>
  <sheetFormatPr defaultRowHeight="13.2" x14ac:dyDescent="0.25"/>
  <cols>
    <col min="1" max="1" width="18.33203125" customWidth="1"/>
    <col min="2" max="2" width="32.44140625" bestFit="1" customWidth="1"/>
    <col min="3" max="3" width="11.6640625" customWidth="1"/>
    <col min="4" max="4" width="11.88671875" customWidth="1"/>
    <col min="5" max="8" width="11.6640625" customWidth="1"/>
    <col min="9" max="9" width="11.44140625" bestFit="1" customWidth="1"/>
    <col min="11" max="11" width="11.6640625" customWidth="1"/>
    <col min="12" max="12" width="9.6640625" bestFit="1" customWidth="1"/>
  </cols>
  <sheetData>
    <row r="3" spans="1:11" ht="15.6" x14ac:dyDescent="0.3">
      <c r="B3" s="14" t="s">
        <v>0</v>
      </c>
      <c r="C3" s="1">
        <v>2020</v>
      </c>
      <c r="D3" s="1">
        <v>2019</v>
      </c>
      <c r="E3" s="42">
        <v>2019</v>
      </c>
      <c r="F3" s="42">
        <v>2018</v>
      </c>
      <c r="G3" s="42">
        <v>2018</v>
      </c>
      <c r="H3" s="42">
        <v>2017</v>
      </c>
      <c r="I3" s="42">
        <v>2016</v>
      </c>
      <c r="K3" s="1"/>
    </row>
    <row r="4" spans="1:11" ht="15.6" x14ac:dyDescent="0.3">
      <c r="B4" s="14"/>
      <c r="C4" s="1" t="s">
        <v>506</v>
      </c>
      <c r="D4" s="1" t="s">
        <v>1206</v>
      </c>
      <c r="E4" s="42" t="s">
        <v>506</v>
      </c>
      <c r="F4" s="42" t="s">
        <v>807</v>
      </c>
      <c r="G4" s="42" t="s">
        <v>506</v>
      </c>
      <c r="H4" s="42" t="s">
        <v>807</v>
      </c>
      <c r="I4" s="42" t="s">
        <v>807</v>
      </c>
      <c r="K4" s="1"/>
    </row>
    <row r="5" spans="1:11" ht="15.6" x14ac:dyDescent="0.3">
      <c r="B5" s="14"/>
      <c r="C5" s="14"/>
      <c r="D5" s="14"/>
      <c r="E5" s="14"/>
      <c r="F5" s="14"/>
      <c r="G5" s="14"/>
      <c r="H5" s="14"/>
      <c r="I5" s="42"/>
      <c r="K5" s="14"/>
    </row>
    <row r="6" spans="1:11" ht="15.6" x14ac:dyDescent="0.3">
      <c r="A6" s="27" t="s">
        <v>78</v>
      </c>
      <c r="B6" s="14"/>
      <c r="C6" s="14"/>
      <c r="D6" s="14"/>
      <c r="E6" s="14"/>
      <c r="F6" s="14"/>
      <c r="G6" s="14"/>
      <c r="H6" s="14"/>
      <c r="I6" s="42"/>
      <c r="K6" s="14"/>
    </row>
    <row r="7" spans="1:11" x14ac:dyDescent="0.25">
      <c r="A7" s="27" t="s">
        <v>1286</v>
      </c>
      <c r="B7" s="27" t="s">
        <v>993</v>
      </c>
      <c r="C7" s="173">
        <v>18000</v>
      </c>
      <c r="D7" s="57">
        <v>18319.07</v>
      </c>
      <c r="E7" s="57">
        <v>15000</v>
      </c>
      <c r="F7" s="57">
        <v>14500.16</v>
      </c>
      <c r="G7" s="57">
        <v>15000</v>
      </c>
      <c r="H7" s="57">
        <v>14695.27</v>
      </c>
      <c r="I7" s="113">
        <v>16537.61</v>
      </c>
      <c r="K7" s="57"/>
    </row>
    <row r="8" spans="1:11" x14ac:dyDescent="0.25">
      <c r="A8" s="27" t="s">
        <v>983</v>
      </c>
      <c r="B8" s="27" t="s">
        <v>472</v>
      </c>
      <c r="C8" s="173">
        <v>1200</v>
      </c>
      <c r="D8" s="57">
        <v>1120</v>
      </c>
      <c r="E8" s="57">
        <v>1000</v>
      </c>
      <c r="F8" s="57">
        <v>1402</v>
      </c>
      <c r="G8" s="57">
        <v>1000</v>
      </c>
      <c r="H8" s="57">
        <v>934</v>
      </c>
      <c r="I8" s="113">
        <v>1068</v>
      </c>
      <c r="K8" s="57"/>
    </row>
    <row r="9" spans="1:11" x14ac:dyDescent="0.25">
      <c r="A9" s="27" t="s">
        <v>984</v>
      </c>
      <c r="B9" s="27" t="s">
        <v>985</v>
      </c>
      <c r="C9" s="57">
        <v>625</v>
      </c>
      <c r="D9" s="57">
        <v>870.99</v>
      </c>
      <c r="E9" s="57">
        <v>625</v>
      </c>
      <c r="F9" s="57">
        <v>1914.01</v>
      </c>
      <c r="G9" s="57">
        <v>625</v>
      </c>
      <c r="H9" s="57">
        <v>953.78</v>
      </c>
      <c r="I9" s="113">
        <v>625.32000000000005</v>
      </c>
      <c r="K9" s="57"/>
    </row>
    <row r="10" spans="1:11" x14ac:dyDescent="0.25">
      <c r="A10" s="27" t="s">
        <v>986</v>
      </c>
      <c r="B10" s="27" t="s">
        <v>667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113">
        <v>0</v>
      </c>
      <c r="K10" s="57"/>
    </row>
    <row r="11" spans="1:11" x14ac:dyDescent="0.25">
      <c r="A11" s="27" t="s">
        <v>987</v>
      </c>
      <c r="B11" s="27" t="s">
        <v>477</v>
      </c>
      <c r="C11" s="57">
        <v>6000</v>
      </c>
      <c r="D11" s="57">
        <v>5129.4799999999996</v>
      </c>
      <c r="E11" s="57">
        <v>6000</v>
      </c>
      <c r="F11" s="57">
        <v>5727.62</v>
      </c>
      <c r="G11" s="57">
        <v>6000</v>
      </c>
      <c r="H11" s="57">
        <v>7247.55</v>
      </c>
      <c r="I11" s="113">
        <v>5135.0200000000004</v>
      </c>
      <c r="K11" s="57"/>
    </row>
    <row r="12" spans="1:11" x14ac:dyDescent="0.25">
      <c r="A12" s="27" t="s">
        <v>988</v>
      </c>
      <c r="B12" s="27" t="s">
        <v>794</v>
      </c>
      <c r="C12" s="57">
        <v>2500</v>
      </c>
      <c r="D12" s="57">
        <v>2450</v>
      </c>
      <c r="E12" s="57">
        <v>2500</v>
      </c>
      <c r="F12" s="57">
        <f>75+2856</f>
        <v>2931</v>
      </c>
      <c r="G12" s="57">
        <v>2000</v>
      </c>
      <c r="H12" s="57">
        <v>2403</v>
      </c>
      <c r="I12" s="113">
        <v>2060.75</v>
      </c>
      <c r="K12" s="57"/>
    </row>
    <row r="13" spans="1:11" x14ac:dyDescent="0.25">
      <c r="A13" s="27" t="s">
        <v>989</v>
      </c>
      <c r="B13" s="27" t="s">
        <v>875</v>
      </c>
      <c r="C13" s="57">
        <v>500</v>
      </c>
      <c r="D13" s="57">
        <v>365.85</v>
      </c>
      <c r="E13" s="57">
        <v>500</v>
      </c>
      <c r="F13" s="57">
        <v>180</v>
      </c>
      <c r="G13" s="57">
        <v>500</v>
      </c>
      <c r="H13" s="57">
        <v>705.33</v>
      </c>
      <c r="I13" s="113">
        <v>787.27</v>
      </c>
      <c r="K13" s="57"/>
    </row>
    <row r="14" spans="1:11" x14ac:dyDescent="0.25">
      <c r="A14" s="27" t="s">
        <v>1289</v>
      </c>
      <c r="B14" s="27" t="s">
        <v>1290</v>
      </c>
      <c r="C14" s="57">
        <v>0</v>
      </c>
      <c r="D14" s="57">
        <v>56628.3</v>
      </c>
      <c r="E14" s="57">
        <v>0</v>
      </c>
      <c r="F14" s="57">
        <v>0</v>
      </c>
      <c r="G14" s="57">
        <v>0</v>
      </c>
      <c r="H14" s="57">
        <v>0</v>
      </c>
      <c r="I14" s="113">
        <v>0</v>
      </c>
      <c r="K14" s="57"/>
    </row>
    <row r="15" spans="1:11" x14ac:dyDescent="0.25">
      <c r="A15" s="27"/>
      <c r="B15" s="27"/>
      <c r="C15" s="57"/>
      <c r="D15" s="57"/>
      <c r="E15" s="57"/>
      <c r="F15" s="57"/>
      <c r="G15" s="57"/>
      <c r="H15" s="57"/>
      <c r="I15" s="113"/>
      <c r="K15" s="57"/>
    </row>
    <row r="16" spans="1:11" x14ac:dyDescent="0.25">
      <c r="A16" s="27"/>
      <c r="B16" s="30" t="s">
        <v>58</v>
      </c>
      <c r="C16" s="112">
        <f>SUM(C7:C14)</f>
        <v>28825</v>
      </c>
      <c r="D16" s="112">
        <f>SUM(D7:D15)</f>
        <v>84883.69</v>
      </c>
      <c r="E16" s="112">
        <f>SUM(E7:E14)</f>
        <v>25625</v>
      </c>
      <c r="F16" s="112">
        <f>SUM(F7:F14)</f>
        <v>26654.789999999997</v>
      </c>
      <c r="G16" s="112">
        <f t="shared" ref="G16:I16" si="0">SUM(G7:G15)</f>
        <v>25125</v>
      </c>
      <c r="H16" s="112">
        <f t="shared" si="0"/>
        <v>26938.93</v>
      </c>
      <c r="I16" s="113">
        <f t="shared" si="0"/>
        <v>26213.97</v>
      </c>
      <c r="K16" s="112"/>
    </row>
    <row r="17" spans="1:12" x14ac:dyDescent="0.25">
      <c r="A17" s="27"/>
      <c r="B17" s="30"/>
      <c r="C17" s="112"/>
      <c r="D17" s="112"/>
      <c r="E17" s="112"/>
      <c r="F17" s="112"/>
      <c r="G17" s="112"/>
      <c r="H17" s="112"/>
      <c r="I17" s="113"/>
      <c r="K17" s="112"/>
    </row>
    <row r="18" spans="1:12" x14ac:dyDescent="0.25">
      <c r="A18" s="27"/>
      <c r="B18" s="30"/>
      <c r="C18" s="112"/>
      <c r="D18" s="112"/>
      <c r="E18" s="112"/>
      <c r="F18" s="112"/>
      <c r="G18" s="112"/>
      <c r="H18" s="112"/>
      <c r="I18" s="113"/>
      <c r="K18" s="112"/>
    </row>
    <row r="19" spans="1:12" ht="14.25" customHeight="1" x14ac:dyDescent="0.25">
      <c r="A19" t="s">
        <v>79</v>
      </c>
      <c r="C19" s="10"/>
      <c r="D19" s="10"/>
      <c r="E19" s="10"/>
      <c r="F19" s="10"/>
      <c r="G19" s="10"/>
      <c r="H19" s="10"/>
      <c r="I19" s="42"/>
      <c r="K19" s="10"/>
    </row>
    <row r="20" spans="1:12" x14ac:dyDescent="0.25">
      <c r="A20" t="s">
        <v>192</v>
      </c>
      <c r="C20" s="10"/>
      <c r="D20" s="10"/>
      <c r="E20" s="10"/>
      <c r="F20" s="10"/>
      <c r="G20" s="10"/>
      <c r="H20" s="10"/>
      <c r="I20" s="10"/>
      <c r="K20" s="10"/>
    </row>
    <row r="21" spans="1:12" x14ac:dyDescent="0.25">
      <c r="A21" t="s">
        <v>53</v>
      </c>
      <c r="B21" t="s">
        <v>98</v>
      </c>
      <c r="C21" s="10">
        <f>75579+40601.6+42244.8</f>
        <v>158425.40000000002</v>
      </c>
      <c r="D21" s="10">
        <v>112596.96</v>
      </c>
      <c r="E21" s="10">
        <v>114085</v>
      </c>
      <c r="F21" s="10">
        <v>110814.01</v>
      </c>
      <c r="G21" s="10">
        <f>69877+39041.6</f>
        <v>108918.6</v>
      </c>
      <c r="H21" s="10">
        <v>109315.49</v>
      </c>
      <c r="I21" s="10">
        <v>84222.9</v>
      </c>
      <c r="K21" s="10"/>
    </row>
    <row r="22" spans="1:12" x14ac:dyDescent="0.25">
      <c r="A22" t="s">
        <v>54</v>
      </c>
      <c r="B22" t="s">
        <v>99</v>
      </c>
      <c r="C22" s="10">
        <v>5000</v>
      </c>
      <c r="D22" s="10">
        <v>874.45</v>
      </c>
      <c r="E22" s="10">
        <v>5000</v>
      </c>
      <c r="F22" s="10">
        <v>827.66</v>
      </c>
      <c r="G22" s="10">
        <v>5000</v>
      </c>
      <c r="H22" s="10">
        <v>-433.16</v>
      </c>
      <c r="I22" s="10">
        <v>492.63</v>
      </c>
      <c r="K22" s="10"/>
    </row>
    <row r="23" spans="1:12" x14ac:dyDescent="0.25">
      <c r="A23" t="s">
        <v>205</v>
      </c>
      <c r="B23" t="s">
        <v>47</v>
      </c>
      <c r="C23" s="10">
        <f>14.23*1300</f>
        <v>18499</v>
      </c>
      <c r="D23" s="10">
        <v>28108.07</v>
      </c>
      <c r="E23" s="10">
        <v>44580</v>
      </c>
      <c r="F23" s="10">
        <f>15199.43+2387.06</f>
        <v>17586.490000000002</v>
      </c>
      <c r="G23" s="10">
        <f>26353+17095</f>
        <v>43448</v>
      </c>
      <c r="H23" s="10">
        <v>24247.94</v>
      </c>
      <c r="I23" s="10">
        <v>20810.310000000001</v>
      </c>
      <c r="K23" s="10"/>
    </row>
    <row r="24" spans="1:12" x14ac:dyDescent="0.25">
      <c r="A24" t="s">
        <v>188</v>
      </c>
      <c r="C24" s="10"/>
      <c r="D24" s="10"/>
      <c r="E24" s="10"/>
      <c r="F24" s="10"/>
      <c r="G24" s="10"/>
      <c r="H24" s="10"/>
      <c r="I24" s="10"/>
      <c r="K24" s="10"/>
    </row>
    <row r="25" spans="1:12" x14ac:dyDescent="0.25">
      <c r="A25" t="s">
        <v>206</v>
      </c>
      <c r="B25" t="s">
        <v>190</v>
      </c>
      <c r="C25" s="10">
        <f>0.075*C23</f>
        <v>1387.425</v>
      </c>
      <c r="D25" s="10">
        <v>1231.8399999999999</v>
      </c>
      <c r="E25" s="10">
        <f>0.075*E23</f>
        <v>3343.5</v>
      </c>
      <c r="F25" s="10">
        <v>1010.14</v>
      </c>
      <c r="G25" s="10">
        <f>0.075*17095</f>
        <v>1282.125</v>
      </c>
      <c r="H25" s="10">
        <v>1258.31</v>
      </c>
      <c r="I25" s="10">
        <v>1224.77</v>
      </c>
      <c r="K25" s="10"/>
      <c r="L25" s="22"/>
    </row>
    <row r="26" spans="1:12" x14ac:dyDescent="0.25">
      <c r="A26" t="s">
        <v>207</v>
      </c>
      <c r="B26" t="s">
        <v>82</v>
      </c>
      <c r="C26" s="10">
        <f>0.062*C23</f>
        <v>1146.9380000000001</v>
      </c>
      <c r="D26" s="10">
        <v>945.87</v>
      </c>
      <c r="E26" s="10">
        <f>0.062*E23</f>
        <v>2763.96</v>
      </c>
      <c r="F26" s="10">
        <v>876.97</v>
      </c>
      <c r="G26" s="10">
        <f>0.062*17095</f>
        <v>1059.8900000000001</v>
      </c>
      <c r="H26" s="10">
        <v>921.67</v>
      </c>
      <c r="I26" s="10">
        <v>882.92</v>
      </c>
      <c r="K26" s="10"/>
    </row>
    <row r="27" spans="1:12" x14ac:dyDescent="0.25">
      <c r="A27" t="s">
        <v>208</v>
      </c>
      <c r="B27" t="s">
        <v>84</v>
      </c>
      <c r="C27" s="10">
        <f>0.0145*SUM(C21:C23)</f>
        <v>2637.9038000000005</v>
      </c>
      <c r="D27" s="10">
        <v>1857.49</v>
      </c>
      <c r="E27" s="10">
        <f>0.0145*SUM(E21:E23)</f>
        <v>2373.1424999999999</v>
      </c>
      <c r="F27" s="10">
        <v>1671.2</v>
      </c>
      <c r="G27" s="10">
        <f>0.0145*SUM(G21:G23)</f>
        <v>2281.8157000000001</v>
      </c>
      <c r="H27" s="10">
        <v>1913.96</v>
      </c>
      <c r="I27" s="10">
        <v>1600.81</v>
      </c>
      <c r="K27" s="10"/>
    </row>
    <row r="28" spans="1:12" x14ac:dyDescent="0.25">
      <c r="A28" t="s">
        <v>209</v>
      </c>
      <c r="B28" t="s">
        <v>191</v>
      </c>
      <c r="C28" s="10">
        <f>0.177*SUM(C21:C22)</f>
        <v>28926.295800000004</v>
      </c>
      <c r="D28" s="10">
        <v>21086.37</v>
      </c>
      <c r="E28" s="10">
        <f>0.162*SUM(E21:E22)</f>
        <v>19291.77</v>
      </c>
      <c r="F28" s="10">
        <v>18320</v>
      </c>
      <c r="G28" s="10">
        <f>0.162*(108919+5000+26353)</f>
        <v>22724.064000000002</v>
      </c>
      <c r="H28" s="10">
        <v>19099.46</v>
      </c>
      <c r="I28" s="10">
        <v>15569.75</v>
      </c>
      <c r="K28" s="10"/>
    </row>
    <row r="29" spans="1:12" x14ac:dyDescent="0.25">
      <c r="A29" t="s">
        <v>183</v>
      </c>
      <c r="C29" s="10"/>
      <c r="D29" s="10"/>
      <c r="E29" s="10"/>
      <c r="F29" s="10"/>
      <c r="G29" s="10"/>
      <c r="H29" s="10"/>
      <c r="I29" s="10"/>
      <c r="K29" s="10"/>
    </row>
    <row r="30" spans="1:12" x14ac:dyDescent="0.25">
      <c r="A30" t="s">
        <v>210</v>
      </c>
      <c r="B30" t="s">
        <v>185</v>
      </c>
      <c r="C30" s="10">
        <f>22800+22800+22800+14250</f>
        <v>82650</v>
      </c>
      <c r="D30" s="10">
        <v>22136.13</v>
      </c>
      <c r="E30" s="10">
        <v>29925</v>
      </c>
      <c r="F30" s="10">
        <v>16956.259999999998</v>
      </c>
      <c r="G30" s="10">
        <f>10800+10800+6750</f>
        <v>28350</v>
      </c>
      <c r="H30" s="10">
        <v>15204.44</v>
      </c>
      <c r="I30" s="10">
        <v>15782.75</v>
      </c>
      <c r="K30" s="10"/>
    </row>
    <row r="31" spans="1:12" x14ac:dyDescent="0.25">
      <c r="A31" t="s">
        <v>211</v>
      </c>
      <c r="B31" t="s">
        <v>187</v>
      </c>
      <c r="C31" s="10">
        <f>795+795+795+497</f>
        <v>2882</v>
      </c>
      <c r="D31" s="10">
        <v>1804.78</v>
      </c>
      <c r="E31" s="10">
        <f>765+765+474</f>
        <v>2004</v>
      </c>
      <c r="F31" s="10">
        <v>1301.8</v>
      </c>
      <c r="G31" s="10">
        <f>734.64+734.64+459.15</f>
        <v>1928.4299999999998</v>
      </c>
      <c r="H31" s="10">
        <v>1122.1600000000001</v>
      </c>
      <c r="I31" s="10">
        <v>1123.57</v>
      </c>
      <c r="K31" s="10"/>
    </row>
    <row r="32" spans="1:12" x14ac:dyDescent="0.25">
      <c r="A32" s="27" t="s">
        <v>683</v>
      </c>
      <c r="C32" s="10"/>
      <c r="D32" s="10"/>
      <c r="E32" s="10"/>
      <c r="F32" s="10"/>
      <c r="G32" s="10"/>
      <c r="H32" s="10"/>
      <c r="I32" s="10"/>
      <c r="K32" s="10"/>
    </row>
    <row r="33" spans="1:11" x14ac:dyDescent="0.25">
      <c r="A33" s="27" t="s">
        <v>990</v>
      </c>
      <c r="B33" s="27" t="s">
        <v>962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10">
        <v>8000.01</v>
      </c>
      <c r="K33" s="57"/>
    </row>
    <row r="34" spans="1:11" x14ac:dyDescent="0.25">
      <c r="A34" t="s">
        <v>43</v>
      </c>
      <c r="C34" s="10"/>
      <c r="D34" s="10"/>
      <c r="E34" s="10"/>
      <c r="F34" s="10"/>
      <c r="G34" s="10"/>
      <c r="H34" s="10"/>
      <c r="I34" s="10"/>
      <c r="K34" s="10"/>
    </row>
    <row r="35" spans="1:11" x14ac:dyDescent="0.25">
      <c r="A35" t="s">
        <v>212</v>
      </c>
      <c r="B35" t="s">
        <v>182</v>
      </c>
      <c r="C35" s="10">
        <v>8000</v>
      </c>
      <c r="D35" s="10">
        <v>7945</v>
      </c>
      <c r="E35" s="10">
        <v>8800</v>
      </c>
      <c r="F35" s="10">
        <v>8734.2199999999993</v>
      </c>
      <c r="G35" s="10">
        <v>6500</v>
      </c>
      <c r="H35" s="10">
        <v>8454.9699999999993</v>
      </c>
      <c r="I35" s="10">
        <v>6573</v>
      </c>
      <c r="K35" s="10"/>
    </row>
    <row r="36" spans="1:11" x14ac:dyDescent="0.25">
      <c r="A36" t="s">
        <v>33</v>
      </c>
      <c r="C36" s="10"/>
      <c r="D36" s="10"/>
      <c r="E36" s="10"/>
      <c r="F36" s="10"/>
      <c r="G36" s="10"/>
      <c r="H36" s="10"/>
      <c r="I36" s="10"/>
      <c r="K36" s="10"/>
    </row>
    <row r="37" spans="1:11" x14ac:dyDescent="0.25">
      <c r="A37" t="s">
        <v>213</v>
      </c>
      <c r="B37" t="s">
        <v>34</v>
      </c>
      <c r="C37" s="10">
        <v>1000</v>
      </c>
      <c r="D37" s="10">
        <v>6.38</v>
      </c>
      <c r="E37" s="10">
        <v>1000</v>
      </c>
      <c r="F37" s="10">
        <v>302</v>
      </c>
      <c r="G37" s="10">
        <v>1000</v>
      </c>
      <c r="H37" s="10">
        <v>160.31</v>
      </c>
      <c r="I37" s="10">
        <v>0</v>
      </c>
      <c r="K37" s="10"/>
    </row>
    <row r="38" spans="1:11" x14ac:dyDescent="0.25">
      <c r="A38" t="s">
        <v>214</v>
      </c>
      <c r="B38" t="s">
        <v>42</v>
      </c>
      <c r="C38" s="10">
        <v>1000</v>
      </c>
      <c r="D38" s="10">
        <v>499.09</v>
      </c>
      <c r="E38" s="10">
        <v>1000</v>
      </c>
      <c r="F38" s="10">
        <v>717.66</v>
      </c>
      <c r="G38" s="10">
        <v>1000</v>
      </c>
      <c r="H38" s="10">
        <v>194.22</v>
      </c>
      <c r="I38" s="10">
        <v>641.66</v>
      </c>
      <c r="K38" s="10"/>
    </row>
    <row r="39" spans="1:11" x14ac:dyDescent="0.25">
      <c r="A39" t="s">
        <v>149</v>
      </c>
      <c r="C39" s="10"/>
      <c r="D39" s="10"/>
      <c r="E39" s="10"/>
      <c r="F39" s="10"/>
      <c r="G39" s="10"/>
      <c r="H39" s="10"/>
      <c r="I39" s="10"/>
      <c r="K39" s="10"/>
    </row>
    <row r="40" spans="1:11" x14ac:dyDescent="0.25">
      <c r="A40" t="s">
        <v>215</v>
      </c>
      <c r="B40" t="s">
        <v>152</v>
      </c>
      <c r="C40" s="10">
        <v>5000</v>
      </c>
      <c r="D40" s="10">
        <v>3272.3</v>
      </c>
      <c r="E40" s="10">
        <v>5000</v>
      </c>
      <c r="F40" s="10">
        <v>3757.57</v>
      </c>
      <c r="G40" s="10">
        <v>5000</v>
      </c>
      <c r="H40" s="10">
        <v>2744.28</v>
      </c>
      <c r="I40" s="10">
        <v>2028.47</v>
      </c>
      <c r="K40" s="10"/>
    </row>
    <row r="41" spans="1:11" x14ac:dyDescent="0.25">
      <c r="A41" t="s">
        <v>216</v>
      </c>
      <c r="B41" t="s">
        <v>174</v>
      </c>
      <c r="C41" s="10">
        <v>600</v>
      </c>
      <c r="D41" s="10">
        <v>206.4</v>
      </c>
      <c r="E41" s="10">
        <v>400</v>
      </c>
      <c r="F41" s="10">
        <v>202.5</v>
      </c>
      <c r="G41" s="10">
        <v>400</v>
      </c>
      <c r="H41" s="10">
        <v>235</v>
      </c>
      <c r="I41" s="10">
        <v>134.78</v>
      </c>
      <c r="K41" s="10"/>
    </row>
    <row r="42" spans="1:11" x14ac:dyDescent="0.25">
      <c r="A42" t="s">
        <v>217</v>
      </c>
      <c r="B42" t="s">
        <v>32</v>
      </c>
      <c r="C42" s="10">
        <v>2000</v>
      </c>
      <c r="D42" s="10">
        <v>1202.07</v>
      </c>
      <c r="E42" s="10">
        <v>2000</v>
      </c>
      <c r="F42" s="10">
        <v>105.64</v>
      </c>
      <c r="G42" s="10">
        <v>2000</v>
      </c>
      <c r="H42" s="10">
        <v>266</v>
      </c>
      <c r="I42" s="10">
        <v>888.47</v>
      </c>
      <c r="K42" s="10"/>
    </row>
    <row r="43" spans="1:11" x14ac:dyDescent="0.25">
      <c r="A43" t="s">
        <v>23</v>
      </c>
      <c r="C43" s="10"/>
      <c r="D43" s="10"/>
      <c r="E43" s="10"/>
      <c r="F43" s="10"/>
      <c r="G43" s="10"/>
      <c r="H43" s="10"/>
      <c r="I43" s="10"/>
      <c r="K43" s="10"/>
    </row>
    <row r="44" spans="1:11" x14ac:dyDescent="0.25">
      <c r="A44" t="s">
        <v>218</v>
      </c>
      <c r="B44" t="s">
        <v>141</v>
      </c>
      <c r="C44" s="10">
        <v>1000</v>
      </c>
      <c r="D44" s="10">
        <v>720.16</v>
      </c>
      <c r="E44" s="10">
        <v>1000</v>
      </c>
      <c r="F44" s="10">
        <v>999.97</v>
      </c>
      <c r="G44" s="10">
        <v>1000</v>
      </c>
      <c r="H44" s="10">
        <v>949.78</v>
      </c>
      <c r="I44" s="10">
        <v>788.96</v>
      </c>
      <c r="K44" s="10"/>
    </row>
    <row r="45" spans="1:11" x14ac:dyDescent="0.25">
      <c r="A45" t="s">
        <v>219</v>
      </c>
      <c r="B45" t="s">
        <v>142</v>
      </c>
      <c r="C45" s="10">
        <v>750</v>
      </c>
      <c r="D45" s="10">
        <v>0</v>
      </c>
      <c r="E45" s="10">
        <v>750</v>
      </c>
      <c r="F45" s="10">
        <v>1081.24</v>
      </c>
      <c r="G45" s="10">
        <v>750</v>
      </c>
      <c r="H45" s="10">
        <v>0</v>
      </c>
      <c r="I45" s="10">
        <v>586</v>
      </c>
      <c r="K45" s="10"/>
    </row>
    <row r="46" spans="1:11" x14ac:dyDescent="0.25">
      <c r="A46" t="s">
        <v>220</v>
      </c>
      <c r="B46" t="s">
        <v>148</v>
      </c>
      <c r="C46" s="10">
        <v>600</v>
      </c>
      <c r="D46" s="10">
        <v>534.69000000000005</v>
      </c>
      <c r="E46" s="10">
        <v>600</v>
      </c>
      <c r="F46" s="10">
        <v>392.76</v>
      </c>
      <c r="G46" s="10">
        <v>600</v>
      </c>
      <c r="H46" s="10">
        <v>0</v>
      </c>
      <c r="I46" s="10">
        <v>148.97</v>
      </c>
      <c r="K46" s="10"/>
    </row>
    <row r="47" spans="1:11" x14ac:dyDescent="0.25">
      <c r="A47" t="s">
        <v>6</v>
      </c>
      <c r="C47" s="10"/>
      <c r="D47" s="10"/>
      <c r="E47" s="10"/>
      <c r="F47" s="10"/>
      <c r="G47" s="10"/>
      <c r="H47" s="10"/>
      <c r="I47" s="10"/>
      <c r="K47" s="10"/>
    </row>
    <row r="48" spans="1:11" x14ac:dyDescent="0.25">
      <c r="A48" t="s">
        <v>221</v>
      </c>
      <c r="B48" t="s">
        <v>12</v>
      </c>
      <c r="C48" s="10">
        <v>10000</v>
      </c>
      <c r="D48" s="10">
        <v>7080.77</v>
      </c>
      <c r="E48" s="10">
        <v>10000</v>
      </c>
      <c r="F48" s="10">
        <v>8315.25</v>
      </c>
      <c r="G48" s="10">
        <v>8000</v>
      </c>
      <c r="H48" s="10">
        <v>9650</v>
      </c>
      <c r="I48" s="10">
        <v>10137</v>
      </c>
      <c r="K48" s="10"/>
    </row>
    <row r="49" spans="1:11" x14ac:dyDescent="0.25">
      <c r="A49" t="s">
        <v>831</v>
      </c>
      <c r="B49" t="s">
        <v>14</v>
      </c>
      <c r="C49" s="10">
        <f>1900+7500</f>
        <v>9400</v>
      </c>
      <c r="D49" s="10">
        <v>2686.68</v>
      </c>
      <c r="E49" s="10">
        <v>1900</v>
      </c>
      <c r="F49" s="10">
        <v>1805.41</v>
      </c>
      <c r="G49" s="10">
        <v>1650</v>
      </c>
      <c r="H49" s="10">
        <v>1735.97</v>
      </c>
      <c r="I49" s="10">
        <v>1605</v>
      </c>
      <c r="K49" s="10"/>
    </row>
    <row r="50" spans="1:11" x14ac:dyDescent="0.25">
      <c r="A50" s="27" t="s">
        <v>656</v>
      </c>
      <c r="B50" t="s">
        <v>94</v>
      </c>
      <c r="C50" s="10">
        <v>0</v>
      </c>
      <c r="D50" s="10">
        <v>0</v>
      </c>
      <c r="E50" s="10">
        <v>0</v>
      </c>
      <c r="F50" s="10">
        <v>33.630000000000003</v>
      </c>
      <c r="G50" s="10">
        <v>0</v>
      </c>
      <c r="H50" s="10">
        <v>9.5</v>
      </c>
      <c r="I50" s="10">
        <v>9.5</v>
      </c>
      <c r="K50" s="10"/>
    </row>
    <row r="51" spans="1:11" x14ac:dyDescent="0.25">
      <c r="A51" t="s">
        <v>5</v>
      </c>
      <c r="C51" s="10"/>
      <c r="D51" s="10"/>
      <c r="E51" s="10"/>
      <c r="F51" s="10"/>
      <c r="G51" s="10"/>
      <c r="H51" s="10"/>
      <c r="I51" s="10"/>
      <c r="K51" s="10"/>
    </row>
    <row r="52" spans="1:11" x14ac:dyDescent="0.25">
      <c r="A52" t="s">
        <v>222</v>
      </c>
      <c r="B52" t="s">
        <v>89</v>
      </c>
      <c r="C52" s="10">
        <v>2000</v>
      </c>
      <c r="D52" s="10">
        <v>1891.39</v>
      </c>
      <c r="E52" s="10">
        <v>2000</v>
      </c>
      <c r="F52" s="10">
        <v>2326.37</v>
      </c>
      <c r="G52" s="10">
        <v>1000</v>
      </c>
      <c r="H52" s="10">
        <v>2176.08</v>
      </c>
      <c r="I52" s="10">
        <v>2021.26</v>
      </c>
      <c r="K52" s="10"/>
    </row>
    <row r="53" spans="1:11" x14ac:dyDescent="0.25">
      <c r="A53" t="s">
        <v>223</v>
      </c>
      <c r="B53" t="s">
        <v>90</v>
      </c>
      <c r="C53" s="10">
        <v>200</v>
      </c>
      <c r="D53" s="10">
        <v>0</v>
      </c>
      <c r="E53" s="10">
        <v>300</v>
      </c>
      <c r="F53" s="10">
        <v>17.350000000000001</v>
      </c>
      <c r="G53" s="10">
        <v>250</v>
      </c>
      <c r="H53" s="10">
        <v>8.6199999999999992</v>
      </c>
      <c r="I53" s="10">
        <v>12.8</v>
      </c>
      <c r="K53" s="10"/>
    </row>
    <row r="54" spans="1:11" x14ac:dyDescent="0.25">
      <c r="A54" t="s">
        <v>136</v>
      </c>
      <c r="C54" s="10"/>
      <c r="D54" s="10"/>
      <c r="E54" s="10"/>
      <c r="F54" s="10"/>
      <c r="G54" s="10"/>
      <c r="H54" s="10"/>
      <c r="I54" s="10"/>
      <c r="K54" s="10"/>
    </row>
    <row r="55" spans="1:11" x14ac:dyDescent="0.25">
      <c r="A55" t="s">
        <v>224</v>
      </c>
      <c r="B55" t="s">
        <v>137</v>
      </c>
      <c r="C55" s="10">
        <v>0</v>
      </c>
      <c r="D55" s="10">
        <v>0</v>
      </c>
      <c r="E55" s="10">
        <v>0</v>
      </c>
      <c r="F55" s="10">
        <v>42.64</v>
      </c>
      <c r="G55" s="10">
        <v>0</v>
      </c>
      <c r="H55" s="10">
        <v>0</v>
      </c>
      <c r="I55" s="10">
        <v>55.3</v>
      </c>
      <c r="K55" s="10"/>
    </row>
    <row r="56" spans="1:11" x14ac:dyDescent="0.25">
      <c r="A56" t="s">
        <v>128</v>
      </c>
      <c r="C56" s="10"/>
      <c r="D56" s="10"/>
      <c r="E56" s="10"/>
      <c r="F56" s="10"/>
      <c r="G56" s="10"/>
      <c r="H56" s="10"/>
      <c r="I56" s="10"/>
      <c r="K56" s="10"/>
    </row>
    <row r="57" spans="1:11" x14ac:dyDescent="0.25">
      <c r="A57" t="s">
        <v>503</v>
      </c>
      <c r="B57" t="s">
        <v>86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K57" s="10"/>
    </row>
    <row r="58" spans="1:11" x14ac:dyDescent="0.25">
      <c r="A58" t="s">
        <v>504</v>
      </c>
      <c r="B58" t="s">
        <v>505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K58" s="10"/>
    </row>
    <row r="59" spans="1:11" x14ac:dyDescent="0.25">
      <c r="A59" t="s">
        <v>225</v>
      </c>
      <c r="B59" t="s">
        <v>131</v>
      </c>
      <c r="C59" s="10">
        <v>2500</v>
      </c>
      <c r="D59" s="10">
        <v>2853</v>
      </c>
      <c r="E59" s="10">
        <v>2400</v>
      </c>
      <c r="F59" s="10">
        <v>2343</v>
      </c>
      <c r="G59" s="10">
        <v>1000</v>
      </c>
      <c r="H59" s="10">
        <v>1073</v>
      </c>
      <c r="I59" s="10">
        <v>916</v>
      </c>
      <c r="K59" s="10"/>
    </row>
    <row r="60" spans="1:11" x14ac:dyDescent="0.25">
      <c r="A60" t="s">
        <v>121</v>
      </c>
      <c r="C60" s="10"/>
      <c r="D60" s="10"/>
      <c r="E60" s="10"/>
      <c r="F60" s="10"/>
      <c r="G60" s="10"/>
      <c r="H60" s="10"/>
      <c r="I60" s="10"/>
      <c r="K60" s="10"/>
    </row>
    <row r="61" spans="1:11" x14ac:dyDescent="0.25">
      <c r="A61" t="s">
        <v>226</v>
      </c>
      <c r="B61" t="s">
        <v>122</v>
      </c>
      <c r="C61" s="10">
        <v>1500</v>
      </c>
      <c r="D61" s="10">
        <v>633.49</v>
      </c>
      <c r="E61" s="10">
        <v>1500</v>
      </c>
      <c r="F61" s="10">
        <v>765.77</v>
      </c>
      <c r="G61" s="10">
        <v>1500</v>
      </c>
      <c r="H61" s="10">
        <v>960.45</v>
      </c>
      <c r="I61" s="10">
        <v>1210.54</v>
      </c>
      <c r="K61" s="10"/>
    </row>
    <row r="62" spans="1:11" x14ac:dyDescent="0.25">
      <c r="A62" t="s">
        <v>495</v>
      </c>
      <c r="C62" s="10"/>
      <c r="D62" s="10"/>
      <c r="E62" s="10"/>
      <c r="F62" s="10"/>
      <c r="G62" s="10"/>
      <c r="H62" s="10"/>
      <c r="I62" s="10"/>
      <c r="K62" s="10"/>
    </row>
    <row r="63" spans="1:11" x14ac:dyDescent="0.25">
      <c r="A63" s="27" t="s">
        <v>1287</v>
      </c>
      <c r="B63" s="27" t="s">
        <v>1032</v>
      </c>
      <c r="C63" s="10">
        <v>0</v>
      </c>
      <c r="D63" s="10">
        <v>56977.07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K63" s="10"/>
    </row>
    <row r="64" spans="1:11" x14ac:dyDescent="0.25">
      <c r="A64" s="13" t="s">
        <v>521</v>
      </c>
      <c r="B64" s="27" t="s">
        <v>519</v>
      </c>
      <c r="C64" s="10">
        <v>4000</v>
      </c>
      <c r="D64" s="10">
        <v>2157.8000000000002</v>
      </c>
      <c r="E64" s="10">
        <v>2000</v>
      </c>
      <c r="F64" s="10">
        <v>265.64</v>
      </c>
      <c r="G64" s="10">
        <v>2000</v>
      </c>
      <c r="H64" s="10">
        <v>1758</v>
      </c>
      <c r="I64" s="10">
        <v>1673.06</v>
      </c>
      <c r="K64" s="10"/>
    </row>
    <row r="65" spans="1:11" x14ac:dyDescent="0.25">
      <c r="A65" s="27" t="s">
        <v>866</v>
      </c>
      <c r="B65" s="27" t="s">
        <v>114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K65" s="57"/>
    </row>
    <row r="66" spans="1:11" x14ac:dyDescent="0.25">
      <c r="A66" s="27" t="s">
        <v>116</v>
      </c>
      <c r="B66" s="27"/>
      <c r="C66" s="57"/>
      <c r="D66" s="57"/>
      <c r="E66" s="57"/>
      <c r="F66" s="57"/>
      <c r="G66" s="57"/>
      <c r="H66" s="57"/>
      <c r="I66" s="57"/>
      <c r="K66" s="57"/>
    </row>
    <row r="67" spans="1:11" x14ac:dyDescent="0.25">
      <c r="A67" s="27" t="s">
        <v>991</v>
      </c>
      <c r="B67" s="27" t="s">
        <v>992</v>
      </c>
      <c r="C67" s="57">
        <v>0</v>
      </c>
      <c r="D67" s="57">
        <v>2998.5</v>
      </c>
      <c r="E67" s="57">
        <v>2500</v>
      </c>
      <c r="F67" s="57">
        <v>0</v>
      </c>
      <c r="G67" s="57">
        <v>0</v>
      </c>
      <c r="H67" s="57">
        <v>709.01</v>
      </c>
      <c r="I67" s="57">
        <v>157</v>
      </c>
      <c r="K67" s="57"/>
    </row>
    <row r="68" spans="1:11" x14ac:dyDescent="0.25">
      <c r="A68" t="s">
        <v>107</v>
      </c>
      <c r="C68" s="10"/>
      <c r="D68" s="10"/>
      <c r="E68" s="10"/>
      <c r="F68" s="10"/>
      <c r="G68" s="10"/>
      <c r="H68" s="10"/>
      <c r="I68" s="10"/>
      <c r="K68" s="10"/>
    </row>
    <row r="69" spans="1:11" x14ac:dyDescent="0.25">
      <c r="A69" t="s">
        <v>227</v>
      </c>
      <c r="B69" t="s">
        <v>93</v>
      </c>
      <c r="C69" s="10">
        <v>3000</v>
      </c>
      <c r="D69" s="10">
        <v>1164.44</v>
      </c>
      <c r="E69" s="10">
        <v>3000</v>
      </c>
      <c r="F69" s="10">
        <v>784.34</v>
      </c>
      <c r="G69" s="10">
        <v>3000</v>
      </c>
      <c r="H69" s="10">
        <v>2191.2800000000002</v>
      </c>
      <c r="I69" s="10">
        <v>4789.0600000000004</v>
      </c>
      <c r="K69" s="10"/>
    </row>
    <row r="70" spans="1:11" x14ac:dyDescent="0.25">
      <c r="A70" t="s">
        <v>228</v>
      </c>
      <c r="B70" t="s">
        <v>91</v>
      </c>
      <c r="C70" s="10">
        <v>1000</v>
      </c>
      <c r="D70" s="10">
        <v>547.76</v>
      </c>
      <c r="E70" s="10">
        <v>1000</v>
      </c>
      <c r="F70" s="10">
        <v>455.28</v>
      </c>
      <c r="G70" s="10">
        <v>1000</v>
      </c>
      <c r="H70" s="10">
        <v>377.15</v>
      </c>
      <c r="I70" s="10">
        <f>315+50.21</f>
        <v>365.21</v>
      </c>
      <c r="K70" s="10"/>
    </row>
    <row r="71" spans="1:11" x14ac:dyDescent="0.25">
      <c r="A71" t="s">
        <v>229</v>
      </c>
      <c r="B71" t="s">
        <v>108</v>
      </c>
      <c r="C71" s="10">
        <v>2500</v>
      </c>
      <c r="D71" s="10">
        <f>656.22+1622.89</f>
        <v>2279.11</v>
      </c>
      <c r="E71" s="10">
        <v>2500</v>
      </c>
      <c r="F71" s="10">
        <f>52.33+759.82</f>
        <v>812.15000000000009</v>
      </c>
      <c r="G71" s="10">
        <v>2000</v>
      </c>
      <c r="H71" s="10">
        <v>2357.88</v>
      </c>
      <c r="I71" s="10">
        <v>1918.98</v>
      </c>
      <c r="K71" s="10"/>
    </row>
    <row r="72" spans="1:11" x14ac:dyDescent="0.25">
      <c r="A72" t="s">
        <v>230</v>
      </c>
      <c r="B72" t="s">
        <v>109</v>
      </c>
      <c r="C72" s="10">
        <v>3200</v>
      </c>
      <c r="D72" s="10">
        <v>2617.5300000000002</v>
      </c>
      <c r="E72" s="10">
        <v>2500</v>
      </c>
      <c r="F72" s="10">
        <v>2604.23</v>
      </c>
      <c r="G72" s="10">
        <v>1500</v>
      </c>
      <c r="H72" s="10">
        <v>2515.4299999999998</v>
      </c>
      <c r="I72" s="10">
        <v>1984.53</v>
      </c>
      <c r="K72" s="10"/>
    </row>
    <row r="73" spans="1:11" x14ac:dyDescent="0.25">
      <c r="C73" s="10"/>
      <c r="D73" s="10"/>
      <c r="E73" s="10"/>
      <c r="F73" s="10"/>
      <c r="G73" s="10"/>
      <c r="H73" s="10"/>
      <c r="I73" s="10"/>
      <c r="K73" s="10"/>
    </row>
    <row r="74" spans="1:11" x14ac:dyDescent="0.25">
      <c r="A74" s="33"/>
      <c r="B74" s="26" t="s">
        <v>58</v>
      </c>
      <c r="C74" s="126">
        <f>SUM(C21:C72)</f>
        <v>360804.96259999997</v>
      </c>
      <c r="D74" s="126">
        <f>SUM(D21:D72)</f>
        <v>288915.58999999997</v>
      </c>
      <c r="E74" s="126">
        <f>SUM(E21:E72)</f>
        <v>275516.37249999994</v>
      </c>
      <c r="F74" s="126">
        <f>SUM(F21:F72)</f>
        <v>206229.15000000005</v>
      </c>
      <c r="G74" s="126">
        <f>SUM(G21:G73)</f>
        <v>256142.92470000003</v>
      </c>
      <c r="H74" s="126">
        <f>SUM(H21:H73)</f>
        <v>211177.19999999998</v>
      </c>
      <c r="I74" s="126">
        <f>SUM(I21:I72)</f>
        <v>188355.97</v>
      </c>
      <c r="K74" s="126"/>
    </row>
    <row r="75" spans="1:11" x14ac:dyDescent="0.25">
      <c r="A75" s="40"/>
    </row>
    <row r="76" spans="1:11" x14ac:dyDescent="0.25">
      <c r="A76" s="33"/>
    </row>
    <row r="78" spans="1:11" x14ac:dyDescent="0.25">
      <c r="A78" s="27" t="s">
        <v>1120</v>
      </c>
    </row>
    <row r="79" spans="1:11" x14ac:dyDescent="0.25">
      <c r="A79" s="27"/>
    </row>
    <row r="80" spans="1:11" x14ac:dyDescent="0.25">
      <c r="A80" s="27"/>
    </row>
    <row r="81" spans="1:2" x14ac:dyDescent="0.25">
      <c r="A81" t="s">
        <v>1192</v>
      </c>
      <c r="B81" t="s">
        <v>1193</v>
      </c>
    </row>
    <row r="82" spans="1:2" x14ac:dyDescent="0.25">
      <c r="A82" t="s">
        <v>1194</v>
      </c>
      <c r="B82" t="s">
        <v>1195</v>
      </c>
    </row>
    <row r="83" spans="1:2" ht="13.8" x14ac:dyDescent="0.25">
      <c r="A83" s="142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6"/>
  <sheetViews>
    <sheetView topLeftCell="A61" workbookViewId="0">
      <selection activeCell="K88" sqref="K88:K93"/>
    </sheetView>
  </sheetViews>
  <sheetFormatPr defaultRowHeight="13.2" x14ac:dyDescent="0.25"/>
  <cols>
    <col min="1" max="1" width="18.44140625" customWidth="1"/>
    <col min="2" max="2" width="29.44140625" bestFit="1" customWidth="1"/>
    <col min="3" max="9" width="11.6640625" customWidth="1"/>
  </cols>
  <sheetData>
    <row r="1" spans="1:9" ht="15.6" x14ac:dyDescent="0.3">
      <c r="B1" s="14" t="s">
        <v>486</v>
      </c>
      <c r="C1" s="1">
        <v>2020</v>
      </c>
      <c r="D1" s="1">
        <v>2019</v>
      </c>
      <c r="E1" s="1">
        <v>2019</v>
      </c>
      <c r="F1" s="42">
        <v>2018</v>
      </c>
      <c r="G1" s="42">
        <v>2018</v>
      </c>
      <c r="H1" s="42">
        <v>2017</v>
      </c>
      <c r="I1" s="42">
        <v>2016</v>
      </c>
    </row>
    <row r="2" spans="1:9" x14ac:dyDescent="0.25">
      <c r="C2" s="1" t="s">
        <v>506</v>
      </c>
      <c r="D2" s="1" t="s">
        <v>1206</v>
      </c>
      <c r="E2" s="1" t="s">
        <v>506</v>
      </c>
      <c r="F2" s="42" t="s">
        <v>807</v>
      </c>
      <c r="G2" s="42" t="s">
        <v>506</v>
      </c>
      <c r="H2" s="42" t="s">
        <v>807</v>
      </c>
      <c r="I2" s="42" t="s">
        <v>807</v>
      </c>
    </row>
    <row r="3" spans="1:9" x14ac:dyDescent="0.25">
      <c r="I3" s="42"/>
    </row>
    <row r="4" spans="1:9" ht="15.6" x14ac:dyDescent="0.3">
      <c r="A4" s="27" t="s">
        <v>78</v>
      </c>
      <c r="B4" s="14"/>
      <c r="C4" s="14"/>
      <c r="D4" s="14"/>
      <c r="E4" s="14"/>
      <c r="F4" s="14"/>
      <c r="G4" s="14"/>
      <c r="H4" s="14"/>
      <c r="I4" s="42"/>
    </row>
    <row r="5" spans="1:9" x14ac:dyDescent="0.25">
      <c r="A5" s="27" t="s">
        <v>994</v>
      </c>
      <c r="B5" s="27" t="s">
        <v>995</v>
      </c>
      <c r="C5" s="57">
        <v>12500</v>
      </c>
      <c r="D5" s="57">
        <v>15978</v>
      </c>
      <c r="E5" s="57">
        <v>12500</v>
      </c>
      <c r="F5" s="57">
        <v>0</v>
      </c>
      <c r="G5" s="57">
        <v>12500</v>
      </c>
      <c r="H5" s="57">
        <v>13500</v>
      </c>
      <c r="I5" s="113">
        <v>12500</v>
      </c>
    </row>
    <row r="6" spans="1:9" x14ac:dyDescent="0.25">
      <c r="A6" s="27" t="s">
        <v>996</v>
      </c>
      <c r="B6" s="27" t="s">
        <v>985</v>
      </c>
      <c r="C6" s="57">
        <v>3000</v>
      </c>
      <c r="D6" s="57">
        <v>4791.8</v>
      </c>
      <c r="E6" s="57">
        <v>1375</v>
      </c>
      <c r="F6" s="57">
        <v>1900</v>
      </c>
      <c r="G6" s="57">
        <v>1375</v>
      </c>
      <c r="H6" s="57">
        <v>5736.7</v>
      </c>
      <c r="I6" s="113">
        <v>5676.86</v>
      </c>
    </row>
    <row r="7" spans="1:9" x14ac:dyDescent="0.25">
      <c r="A7" s="27" t="s">
        <v>1211</v>
      </c>
      <c r="B7" s="27" t="s">
        <v>1212</v>
      </c>
      <c r="C7" s="57">
        <v>0</v>
      </c>
      <c r="D7" s="57">
        <v>421.05</v>
      </c>
      <c r="E7" s="57">
        <v>0</v>
      </c>
      <c r="F7" s="57">
        <v>0</v>
      </c>
      <c r="G7" s="57">
        <v>0</v>
      </c>
      <c r="H7" s="57">
        <v>0</v>
      </c>
      <c r="I7" s="113">
        <v>0</v>
      </c>
    </row>
    <row r="8" spans="1:9" x14ac:dyDescent="0.25">
      <c r="A8" s="27" t="s">
        <v>1098</v>
      </c>
      <c r="B8" s="27" t="s">
        <v>969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236.25</v>
      </c>
      <c r="I8" s="113">
        <v>0</v>
      </c>
    </row>
    <row r="9" spans="1:9" x14ac:dyDescent="0.25">
      <c r="A9" s="27" t="s">
        <v>997</v>
      </c>
      <c r="B9" s="27" t="s">
        <v>794</v>
      </c>
      <c r="C9" s="57">
        <v>3000</v>
      </c>
      <c r="D9" s="57">
        <v>1600</v>
      </c>
      <c r="E9" s="57">
        <v>3000</v>
      </c>
      <c r="F9" s="57">
        <v>6816.91</v>
      </c>
      <c r="G9" s="57">
        <v>3000</v>
      </c>
      <c r="H9" s="57">
        <v>5900</v>
      </c>
      <c r="I9" s="113">
        <v>5520</v>
      </c>
    </row>
    <row r="10" spans="1:9" x14ac:dyDescent="0.25">
      <c r="A10" s="27" t="s">
        <v>999</v>
      </c>
      <c r="B10" s="27" t="s">
        <v>1000</v>
      </c>
      <c r="C10" s="57">
        <v>13000</v>
      </c>
      <c r="D10" s="57">
        <v>0</v>
      </c>
      <c r="E10" s="57">
        <v>13000</v>
      </c>
      <c r="F10" s="57">
        <v>8382</v>
      </c>
      <c r="G10" s="57">
        <v>13000</v>
      </c>
      <c r="H10" s="57">
        <v>9301</v>
      </c>
      <c r="I10" s="113">
        <v>9718</v>
      </c>
    </row>
    <row r="11" spans="1:9" x14ac:dyDescent="0.25">
      <c r="A11" s="27"/>
      <c r="B11" s="27"/>
      <c r="C11" s="57"/>
      <c r="D11" s="57"/>
      <c r="E11" s="57"/>
      <c r="F11" s="57"/>
      <c r="G11" s="57"/>
      <c r="H11" s="57"/>
      <c r="I11" s="113"/>
    </row>
    <row r="12" spans="1:9" x14ac:dyDescent="0.25">
      <c r="A12" s="27"/>
      <c r="B12" s="30" t="s">
        <v>58</v>
      </c>
      <c r="C12" s="112">
        <f>SUM(C5:C10)</f>
        <v>31500</v>
      </c>
      <c r="D12" s="112">
        <f>SUM(D5:D10)</f>
        <v>22790.85</v>
      </c>
      <c r="E12" s="112">
        <f>SUM(E5:E10)</f>
        <v>29875</v>
      </c>
      <c r="F12" s="112">
        <f>SUM(F5:F10)</f>
        <v>17098.91</v>
      </c>
      <c r="G12" s="112">
        <f>SUM(G5:G11)</f>
        <v>29875</v>
      </c>
      <c r="H12" s="112">
        <f>SUM(H5:H11)</f>
        <v>34673.949999999997</v>
      </c>
      <c r="I12" s="113">
        <f>SUM(I5:I10)</f>
        <v>33414.86</v>
      </c>
    </row>
    <row r="13" spans="1:9" x14ac:dyDescent="0.25">
      <c r="C13" s="10"/>
      <c r="D13" s="10"/>
      <c r="E13" s="10"/>
      <c r="F13" s="10"/>
      <c r="G13" s="10"/>
      <c r="H13" s="10"/>
      <c r="I13" s="42"/>
    </row>
    <row r="14" spans="1:9" x14ac:dyDescent="0.25">
      <c r="C14" s="10"/>
      <c r="D14" s="10"/>
      <c r="E14" s="10"/>
      <c r="F14" s="10"/>
      <c r="G14" s="10"/>
      <c r="H14" s="10"/>
      <c r="I14" s="42"/>
    </row>
    <row r="15" spans="1:9" x14ac:dyDescent="0.25">
      <c r="A15" s="27" t="s">
        <v>79</v>
      </c>
      <c r="C15" s="10"/>
      <c r="D15" s="10"/>
      <c r="E15" s="10"/>
      <c r="F15" s="10"/>
      <c r="G15" s="10"/>
      <c r="H15" s="10"/>
      <c r="I15" s="42"/>
    </row>
    <row r="16" spans="1:9" x14ac:dyDescent="0.25">
      <c r="A16" t="s">
        <v>192</v>
      </c>
      <c r="C16" s="10"/>
      <c r="D16" s="10"/>
      <c r="E16" s="10"/>
      <c r="F16" s="10"/>
      <c r="G16" s="10"/>
      <c r="H16" s="10"/>
    </row>
    <row r="17" spans="1:9" x14ac:dyDescent="0.25">
      <c r="A17" t="s">
        <v>231</v>
      </c>
      <c r="B17" t="s">
        <v>47</v>
      </c>
      <c r="C17" s="159">
        <v>8200</v>
      </c>
      <c r="D17" s="10">
        <v>6900.32</v>
      </c>
      <c r="E17" s="10">
        <v>7000</v>
      </c>
      <c r="F17" s="10">
        <v>7321.52</v>
      </c>
      <c r="G17" s="10">
        <v>7000</v>
      </c>
      <c r="H17" s="10">
        <v>20647.400000000001</v>
      </c>
      <c r="I17" s="10">
        <v>19416</v>
      </c>
    </row>
    <row r="18" spans="1:9" x14ac:dyDescent="0.25">
      <c r="A18" t="s">
        <v>188</v>
      </c>
      <c r="C18" s="159"/>
      <c r="D18" s="10"/>
      <c r="E18" s="10"/>
      <c r="F18" s="10"/>
      <c r="G18" s="10"/>
      <c r="H18" s="10"/>
      <c r="I18" s="10"/>
    </row>
    <row r="19" spans="1:9" x14ac:dyDescent="0.25">
      <c r="A19" t="s">
        <v>232</v>
      </c>
      <c r="B19" t="s">
        <v>82</v>
      </c>
      <c r="C19" s="159">
        <f>C17*0.062</f>
        <v>508.4</v>
      </c>
      <c r="D19" s="10">
        <v>423.89</v>
      </c>
      <c r="E19" s="10">
        <v>434</v>
      </c>
      <c r="F19" s="10">
        <v>433.38</v>
      </c>
      <c r="G19" s="10">
        <v>434</v>
      </c>
      <c r="H19" s="10">
        <v>1234.08</v>
      </c>
      <c r="I19" s="10">
        <v>1163.01</v>
      </c>
    </row>
    <row r="20" spans="1:9" x14ac:dyDescent="0.25">
      <c r="A20" t="s">
        <v>233</v>
      </c>
      <c r="B20" t="s">
        <v>84</v>
      </c>
      <c r="C20" s="159">
        <f>C17*0.0145</f>
        <v>118.9</v>
      </c>
      <c r="D20" s="10">
        <v>99.91</v>
      </c>
      <c r="E20" s="10">
        <v>102</v>
      </c>
      <c r="F20" s="10">
        <v>106.06</v>
      </c>
      <c r="G20" s="10">
        <v>102</v>
      </c>
      <c r="H20" s="10">
        <v>299.29000000000002</v>
      </c>
      <c r="I20" s="10">
        <f>281.42+81</f>
        <v>362.42</v>
      </c>
    </row>
    <row r="21" spans="1:9" x14ac:dyDescent="0.25">
      <c r="A21" t="s">
        <v>234</v>
      </c>
      <c r="B21" s="27" t="s">
        <v>1001</v>
      </c>
      <c r="C21" s="57">
        <v>7000</v>
      </c>
      <c r="D21" s="57">
        <v>0</v>
      </c>
      <c r="E21" s="57">
        <v>7000</v>
      </c>
      <c r="F21" s="57">
        <v>16.809999999999999</v>
      </c>
      <c r="G21" s="57">
        <v>7000</v>
      </c>
      <c r="H21" s="57">
        <v>81</v>
      </c>
      <c r="I21" s="10">
        <v>15954.01</v>
      </c>
    </row>
    <row r="22" spans="1:9" x14ac:dyDescent="0.25">
      <c r="A22" t="s">
        <v>43</v>
      </c>
      <c r="C22" s="10"/>
      <c r="D22" s="10"/>
      <c r="E22" s="10"/>
      <c r="F22" s="10"/>
      <c r="G22" s="10"/>
      <c r="H22" s="10"/>
      <c r="I22" s="10"/>
    </row>
    <row r="23" spans="1:9" x14ac:dyDescent="0.25">
      <c r="A23" t="s">
        <v>235</v>
      </c>
      <c r="B23" t="s">
        <v>182</v>
      </c>
      <c r="C23" s="10">
        <v>6000</v>
      </c>
      <c r="D23" s="10">
        <v>5436</v>
      </c>
      <c r="E23" s="10">
        <v>6000</v>
      </c>
      <c r="F23" s="10">
        <f>177.46+5834</f>
        <v>6011.46</v>
      </c>
      <c r="G23" s="10">
        <v>5000</v>
      </c>
      <c r="H23" s="10">
        <v>5740</v>
      </c>
      <c r="I23" s="10">
        <v>4848</v>
      </c>
    </row>
    <row r="24" spans="1:9" x14ac:dyDescent="0.25">
      <c r="A24" t="s">
        <v>33</v>
      </c>
      <c r="C24" s="10"/>
      <c r="D24" s="10"/>
      <c r="E24" s="10"/>
      <c r="F24" s="10"/>
      <c r="G24" s="10"/>
      <c r="H24" s="10"/>
      <c r="I24" s="10"/>
    </row>
    <row r="25" spans="1:9" x14ac:dyDescent="0.25">
      <c r="A25" t="s">
        <v>236</v>
      </c>
      <c r="B25" t="s">
        <v>42</v>
      </c>
      <c r="C25" s="10">
        <v>200</v>
      </c>
      <c r="D25" s="10">
        <f>193.56+9.5</f>
        <v>203.06</v>
      </c>
      <c r="E25" s="10">
        <v>200</v>
      </c>
      <c r="F25" s="10">
        <v>169.11</v>
      </c>
      <c r="G25" s="10">
        <v>250</v>
      </c>
      <c r="H25" s="10">
        <v>183.86</v>
      </c>
      <c r="I25" s="10">
        <v>10.36</v>
      </c>
    </row>
    <row r="26" spans="1:9" x14ac:dyDescent="0.25">
      <c r="A26" t="s">
        <v>149</v>
      </c>
      <c r="C26" s="10"/>
      <c r="D26" s="10"/>
      <c r="E26" s="10"/>
      <c r="F26" s="10"/>
      <c r="G26" s="10"/>
      <c r="H26" s="10"/>
      <c r="I26" s="10"/>
    </row>
    <row r="27" spans="1:9" x14ac:dyDescent="0.25">
      <c r="A27" t="s">
        <v>528</v>
      </c>
      <c r="B27" s="13" t="s">
        <v>151</v>
      </c>
      <c r="C27" s="21">
        <v>100</v>
      </c>
      <c r="D27" s="21">
        <v>111.43</v>
      </c>
      <c r="E27" s="21">
        <v>100</v>
      </c>
      <c r="F27" s="21">
        <v>22.68</v>
      </c>
      <c r="G27" s="21">
        <v>100</v>
      </c>
      <c r="H27" s="21">
        <v>41.59</v>
      </c>
      <c r="I27" s="21">
        <v>7.21</v>
      </c>
    </row>
    <row r="28" spans="1:9" x14ac:dyDescent="0.25">
      <c r="A28" t="s">
        <v>237</v>
      </c>
      <c r="B28" t="s">
        <v>152</v>
      </c>
      <c r="C28" s="10">
        <v>5000</v>
      </c>
      <c r="D28" s="10">
        <v>3255.4</v>
      </c>
      <c r="E28" s="10">
        <v>5000</v>
      </c>
      <c r="F28" s="10">
        <v>2721.14</v>
      </c>
      <c r="G28" s="10">
        <v>5000</v>
      </c>
      <c r="H28" s="10">
        <v>7587.53</v>
      </c>
      <c r="I28" s="10">
        <v>2228.5300000000002</v>
      </c>
    </row>
    <row r="29" spans="1:9" x14ac:dyDescent="0.25">
      <c r="A29" t="s">
        <v>530</v>
      </c>
      <c r="B29" t="s">
        <v>32</v>
      </c>
      <c r="C29" s="10">
        <v>400</v>
      </c>
      <c r="D29" s="10">
        <v>34.950000000000003</v>
      </c>
      <c r="E29" s="10">
        <v>400</v>
      </c>
      <c r="F29" s="10">
        <v>0</v>
      </c>
      <c r="G29" s="10">
        <v>200</v>
      </c>
      <c r="H29" s="10">
        <v>316.35000000000002</v>
      </c>
      <c r="I29" s="10">
        <v>1647</v>
      </c>
    </row>
    <row r="30" spans="1:9" x14ac:dyDescent="0.25">
      <c r="A30" t="s">
        <v>23</v>
      </c>
      <c r="C30" s="10"/>
      <c r="D30" s="10"/>
      <c r="E30" s="10"/>
      <c r="F30" s="10"/>
      <c r="G30" s="10"/>
      <c r="H30" s="10"/>
      <c r="I30" s="10"/>
    </row>
    <row r="31" spans="1:9" x14ac:dyDescent="0.25">
      <c r="A31" t="s">
        <v>238</v>
      </c>
      <c r="B31" t="s">
        <v>141</v>
      </c>
      <c r="C31" s="10">
        <v>1500</v>
      </c>
      <c r="D31" s="10">
        <v>954.19</v>
      </c>
      <c r="E31" s="10">
        <v>1500</v>
      </c>
      <c r="F31" s="10">
        <v>1708.53</v>
      </c>
      <c r="G31" s="10">
        <v>1500</v>
      </c>
      <c r="H31" s="10">
        <v>2065.12</v>
      </c>
      <c r="I31" s="10">
        <v>857.58</v>
      </c>
    </row>
    <row r="32" spans="1:9" x14ac:dyDescent="0.25">
      <c r="A32" t="s">
        <v>239</v>
      </c>
      <c r="B32" t="s">
        <v>143</v>
      </c>
      <c r="C32" s="10">
        <v>250</v>
      </c>
      <c r="D32" s="10">
        <v>35.47</v>
      </c>
      <c r="E32" s="10">
        <v>250</v>
      </c>
      <c r="F32" s="10">
        <v>313.2</v>
      </c>
      <c r="G32" s="10">
        <v>250</v>
      </c>
      <c r="H32" s="10">
        <v>103.7</v>
      </c>
      <c r="I32" s="10">
        <v>-12.89</v>
      </c>
    </row>
    <row r="33" spans="1:9" ht="13.5" customHeight="1" x14ac:dyDescent="0.25">
      <c r="A33" t="s">
        <v>240</v>
      </c>
      <c r="B33" t="s">
        <v>148</v>
      </c>
      <c r="C33" s="10">
        <v>1000</v>
      </c>
      <c r="D33" s="10">
        <v>635.37</v>
      </c>
      <c r="E33" s="10">
        <v>1000</v>
      </c>
      <c r="F33" s="10">
        <v>657.7</v>
      </c>
      <c r="G33" s="10">
        <v>500</v>
      </c>
      <c r="H33" s="10">
        <v>201.57</v>
      </c>
      <c r="I33" s="10">
        <v>103.87</v>
      </c>
    </row>
    <row r="34" spans="1:9" x14ac:dyDescent="0.25">
      <c r="A34" t="s">
        <v>6</v>
      </c>
      <c r="C34" s="10"/>
      <c r="D34" s="10"/>
      <c r="E34" s="10"/>
      <c r="F34" s="10"/>
      <c r="G34" s="10"/>
      <c r="H34" s="10"/>
      <c r="I34" s="10"/>
    </row>
    <row r="35" spans="1:9" x14ac:dyDescent="0.25">
      <c r="A35" t="s">
        <v>241</v>
      </c>
      <c r="B35" t="s">
        <v>8</v>
      </c>
      <c r="C35" s="10"/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</row>
    <row r="36" spans="1:9" x14ac:dyDescent="0.25">
      <c r="A36" t="s">
        <v>242</v>
      </c>
      <c r="B36" t="s">
        <v>15</v>
      </c>
      <c r="C36" s="10">
        <v>3000</v>
      </c>
      <c r="D36" s="10">
        <v>1630</v>
      </c>
      <c r="E36" s="10">
        <v>3000</v>
      </c>
      <c r="F36" s="10">
        <v>2575</v>
      </c>
      <c r="G36" s="10">
        <v>3000</v>
      </c>
      <c r="H36" s="10">
        <v>2641.95</v>
      </c>
      <c r="I36" s="10">
        <v>2438</v>
      </c>
    </row>
    <row r="37" spans="1:9" x14ac:dyDescent="0.25">
      <c r="A37" t="s">
        <v>243</v>
      </c>
      <c r="B37" t="s">
        <v>94</v>
      </c>
      <c r="C37" s="10">
        <v>1500</v>
      </c>
      <c r="D37" s="10">
        <v>61.75</v>
      </c>
      <c r="E37" s="10">
        <v>1500</v>
      </c>
      <c r="F37" s="10">
        <v>892.88</v>
      </c>
      <c r="G37" s="10">
        <v>1500</v>
      </c>
      <c r="H37" s="10">
        <v>3817.8</v>
      </c>
      <c r="I37" s="10">
        <v>1302.76</v>
      </c>
    </row>
    <row r="38" spans="1:9" x14ac:dyDescent="0.25">
      <c r="A38" t="s">
        <v>5</v>
      </c>
      <c r="C38" s="10"/>
      <c r="D38" s="10"/>
      <c r="E38" s="10"/>
      <c r="F38" s="10"/>
      <c r="G38" s="10"/>
      <c r="H38" s="10"/>
      <c r="I38" s="10"/>
    </row>
    <row r="39" spans="1:9" x14ac:dyDescent="0.25">
      <c r="A39" t="s">
        <v>244</v>
      </c>
      <c r="B39" t="s">
        <v>89</v>
      </c>
      <c r="C39" s="10">
        <v>1000</v>
      </c>
      <c r="D39" s="10">
        <v>889.55</v>
      </c>
      <c r="E39" s="10">
        <v>1000</v>
      </c>
      <c r="F39" s="10">
        <v>1045.93</v>
      </c>
      <c r="G39" s="10">
        <v>1000</v>
      </c>
      <c r="H39" s="10">
        <v>953.17</v>
      </c>
      <c r="I39" s="10">
        <v>829.55</v>
      </c>
    </row>
    <row r="40" spans="1:9" x14ac:dyDescent="0.25">
      <c r="A40" t="s">
        <v>245</v>
      </c>
      <c r="B40" t="s">
        <v>90</v>
      </c>
      <c r="C40" s="10">
        <v>100</v>
      </c>
      <c r="D40" s="10">
        <v>33</v>
      </c>
      <c r="E40" s="10">
        <v>100</v>
      </c>
      <c r="F40" s="10">
        <v>0</v>
      </c>
      <c r="G40" s="10">
        <v>100</v>
      </c>
      <c r="H40" s="10">
        <v>225</v>
      </c>
      <c r="I40" s="10">
        <v>320.2</v>
      </c>
    </row>
    <row r="41" spans="1:9" x14ac:dyDescent="0.25">
      <c r="A41" t="s">
        <v>136</v>
      </c>
      <c r="C41" s="10"/>
      <c r="D41" s="10"/>
      <c r="E41" s="10"/>
      <c r="F41" s="10"/>
      <c r="G41" s="10"/>
      <c r="H41" s="10"/>
      <c r="I41" s="10"/>
    </row>
    <row r="42" spans="1:9" x14ac:dyDescent="0.25">
      <c r="A42" t="s">
        <v>246</v>
      </c>
      <c r="B42" t="s">
        <v>137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240</v>
      </c>
      <c r="I42" s="10">
        <v>67</v>
      </c>
    </row>
    <row r="43" spans="1:9" x14ac:dyDescent="0.25">
      <c r="A43" t="s">
        <v>128</v>
      </c>
      <c r="C43" s="10"/>
      <c r="D43" s="10"/>
      <c r="E43" s="10"/>
      <c r="F43" s="10"/>
      <c r="G43" s="10"/>
      <c r="H43" s="10"/>
      <c r="I43" s="10"/>
    </row>
    <row r="44" spans="1:9" x14ac:dyDescent="0.25">
      <c r="A44" t="s">
        <v>247</v>
      </c>
      <c r="B44" t="s">
        <v>86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</row>
    <row r="45" spans="1:9" x14ac:dyDescent="0.25">
      <c r="A45" t="s">
        <v>248</v>
      </c>
      <c r="B45" t="s">
        <v>130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x14ac:dyDescent="0.25">
      <c r="A46" t="s">
        <v>249</v>
      </c>
      <c r="B46" t="s">
        <v>131</v>
      </c>
      <c r="C46" s="10">
        <v>3000</v>
      </c>
      <c r="D46" s="10">
        <v>1813</v>
      </c>
      <c r="E46" s="10">
        <v>3000</v>
      </c>
      <c r="F46" s="10">
        <v>1867</v>
      </c>
      <c r="G46" s="10">
        <v>3000</v>
      </c>
      <c r="H46" s="10">
        <v>2787</v>
      </c>
      <c r="I46" s="10">
        <v>2163.2800000000002</v>
      </c>
    </row>
    <row r="47" spans="1:9" x14ac:dyDescent="0.25">
      <c r="A47" s="27" t="s">
        <v>1213</v>
      </c>
      <c r="B47" s="27" t="s">
        <v>956</v>
      </c>
      <c r="C47" s="10">
        <v>0</v>
      </c>
      <c r="D47" s="10">
        <v>1330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1:9" x14ac:dyDescent="0.25">
      <c r="A48" t="s">
        <v>121</v>
      </c>
      <c r="C48" s="10"/>
      <c r="D48" s="10"/>
      <c r="E48" s="10"/>
      <c r="F48" s="10"/>
      <c r="G48" s="10"/>
      <c r="H48" s="10"/>
      <c r="I48" s="10"/>
    </row>
    <row r="49" spans="1:9" x14ac:dyDescent="0.25">
      <c r="A49" t="s">
        <v>250</v>
      </c>
      <c r="B49" t="s">
        <v>122</v>
      </c>
      <c r="C49" s="10">
        <v>1500</v>
      </c>
      <c r="D49" s="10">
        <v>1442.8</v>
      </c>
      <c r="E49" s="10">
        <v>1500</v>
      </c>
      <c r="F49" s="10">
        <v>1205.93</v>
      </c>
      <c r="G49" s="10">
        <v>1500</v>
      </c>
      <c r="H49" s="10">
        <v>1508.41</v>
      </c>
      <c r="I49" s="10">
        <v>1946.44</v>
      </c>
    </row>
    <row r="50" spans="1:9" x14ac:dyDescent="0.25">
      <c r="A50" t="s">
        <v>251</v>
      </c>
      <c r="B50" t="s">
        <v>123</v>
      </c>
      <c r="C50" s="10">
        <v>500</v>
      </c>
      <c r="D50" s="10">
        <v>557.28</v>
      </c>
      <c r="E50" s="10">
        <v>500</v>
      </c>
      <c r="F50" s="10">
        <v>354</v>
      </c>
      <c r="G50" s="10">
        <v>500</v>
      </c>
      <c r="H50" s="10">
        <v>233.84</v>
      </c>
      <c r="I50" s="10">
        <v>241.87</v>
      </c>
    </row>
    <row r="51" spans="1:9" x14ac:dyDescent="0.25">
      <c r="A51" t="s">
        <v>252</v>
      </c>
      <c r="B51" t="s">
        <v>124</v>
      </c>
      <c r="C51" s="10">
        <v>4000</v>
      </c>
      <c r="D51" s="10">
        <v>3888.73</v>
      </c>
      <c r="E51" s="10">
        <v>4000</v>
      </c>
      <c r="F51" s="10">
        <v>3933.37</v>
      </c>
      <c r="G51" s="10">
        <v>4000</v>
      </c>
      <c r="H51" s="10">
        <v>2997.65</v>
      </c>
      <c r="I51" s="10">
        <v>3004.77</v>
      </c>
    </row>
    <row r="52" spans="1:9" x14ac:dyDescent="0.25">
      <c r="A52" t="s">
        <v>253</v>
      </c>
      <c r="B52" t="s">
        <v>126</v>
      </c>
      <c r="C52" s="10">
        <v>500</v>
      </c>
      <c r="D52" s="10">
        <v>547.91999999999996</v>
      </c>
      <c r="E52" s="10">
        <v>500</v>
      </c>
      <c r="F52" s="10">
        <v>399.22</v>
      </c>
      <c r="G52" s="10">
        <v>500</v>
      </c>
      <c r="H52" s="10">
        <v>272.27</v>
      </c>
      <c r="I52" s="10">
        <v>268.42</v>
      </c>
    </row>
    <row r="53" spans="1:9" x14ac:dyDescent="0.25">
      <c r="A53" t="s">
        <v>495</v>
      </c>
      <c r="C53" s="10"/>
      <c r="D53" s="10"/>
      <c r="E53" s="10"/>
      <c r="F53" s="10"/>
      <c r="G53" s="10"/>
      <c r="H53" s="10"/>
      <c r="I53" s="10"/>
    </row>
    <row r="54" spans="1:9" x14ac:dyDescent="0.25">
      <c r="A54" t="s">
        <v>1204</v>
      </c>
      <c r="B54" t="s">
        <v>1205</v>
      </c>
      <c r="C54" s="10">
        <v>0</v>
      </c>
      <c r="D54" s="10">
        <v>-5</v>
      </c>
      <c r="E54" s="10">
        <v>0</v>
      </c>
      <c r="F54" s="10">
        <v>97600</v>
      </c>
      <c r="G54" s="10">
        <v>0</v>
      </c>
      <c r="H54" s="10">
        <v>0</v>
      </c>
      <c r="I54" s="10">
        <v>0</v>
      </c>
    </row>
    <row r="55" spans="1:9" x14ac:dyDescent="0.25">
      <c r="A55" t="s">
        <v>496</v>
      </c>
      <c r="B55" t="s">
        <v>114</v>
      </c>
      <c r="C55" s="10">
        <v>2500</v>
      </c>
      <c r="D55" s="10">
        <v>4104.59</v>
      </c>
      <c r="E55" s="10">
        <v>2500</v>
      </c>
      <c r="F55" s="10">
        <v>20000</v>
      </c>
      <c r="G55" s="10">
        <v>22500</v>
      </c>
      <c r="H55" s="10">
        <v>8835.42</v>
      </c>
      <c r="I55" s="10">
        <v>1905.31</v>
      </c>
    </row>
    <row r="56" spans="1:9" x14ac:dyDescent="0.25">
      <c r="A56" s="27" t="s">
        <v>844</v>
      </c>
      <c r="C56" s="10"/>
      <c r="D56" s="10"/>
      <c r="E56" s="10"/>
      <c r="F56" s="10"/>
      <c r="G56" s="10"/>
      <c r="H56" s="10"/>
      <c r="I56" s="10"/>
    </row>
    <row r="57" spans="1:9" x14ac:dyDescent="0.25">
      <c r="A57" s="27" t="s">
        <v>1099</v>
      </c>
      <c r="B57" t="s">
        <v>194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14738</v>
      </c>
      <c r="I57" s="10">
        <v>0</v>
      </c>
    </row>
    <row r="58" spans="1:9" x14ac:dyDescent="0.25">
      <c r="A58" s="27" t="s">
        <v>904</v>
      </c>
      <c r="B58" s="27" t="s">
        <v>195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263</v>
      </c>
      <c r="I58" s="10">
        <v>1564</v>
      </c>
    </row>
    <row r="59" spans="1:9" x14ac:dyDescent="0.25">
      <c r="A59" t="s">
        <v>116</v>
      </c>
      <c r="C59" s="10"/>
      <c r="D59" s="10"/>
      <c r="E59" s="10"/>
      <c r="F59" s="10"/>
      <c r="G59" s="10"/>
      <c r="H59" s="10"/>
      <c r="I59" s="10"/>
    </row>
    <row r="60" spans="1:9" x14ac:dyDescent="0.25">
      <c r="A60" t="s">
        <v>254</v>
      </c>
      <c r="B60" t="s">
        <v>117</v>
      </c>
      <c r="C60" s="10">
        <v>1000</v>
      </c>
      <c r="D60" s="10">
        <v>388.86</v>
      </c>
      <c r="E60" s="10">
        <v>1000</v>
      </c>
      <c r="F60" s="10">
        <v>0</v>
      </c>
      <c r="G60" s="10">
        <v>500</v>
      </c>
      <c r="H60" s="10">
        <v>250</v>
      </c>
      <c r="I60" s="10">
        <v>0</v>
      </c>
    </row>
    <row r="61" spans="1:9" x14ac:dyDescent="0.25">
      <c r="A61" t="s">
        <v>255</v>
      </c>
      <c r="B61" t="s">
        <v>120</v>
      </c>
      <c r="C61" s="10">
        <v>2000</v>
      </c>
      <c r="D61" s="10">
        <v>7781.19</v>
      </c>
      <c r="E61" s="10">
        <v>2000</v>
      </c>
      <c r="F61" s="10">
        <v>203.61</v>
      </c>
      <c r="G61" s="10">
        <v>2000</v>
      </c>
      <c r="H61" s="10">
        <f>4344.83+0.48</f>
        <v>4345.3099999999995</v>
      </c>
      <c r="I61" s="10">
        <v>105.26</v>
      </c>
    </row>
    <row r="62" spans="1:9" x14ac:dyDescent="0.25">
      <c r="A62" t="s">
        <v>112</v>
      </c>
      <c r="C62" s="10"/>
      <c r="D62" s="10"/>
      <c r="E62" s="10"/>
      <c r="F62" s="10"/>
      <c r="G62" s="10"/>
      <c r="H62" s="10"/>
      <c r="I62" s="10"/>
    </row>
    <row r="63" spans="1:9" x14ac:dyDescent="0.25">
      <c r="A63" t="s">
        <v>256</v>
      </c>
      <c r="B63" t="s">
        <v>114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13436</v>
      </c>
    </row>
    <row r="64" spans="1:9" x14ac:dyDescent="0.25">
      <c r="A64" t="s">
        <v>111</v>
      </c>
      <c r="C64" s="10"/>
      <c r="D64" s="10"/>
      <c r="E64" s="10"/>
      <c r="F64" s="10"/>
      <c r="G64" s="10"/>
      <c r="H64" s="10"/>
      <c r="I64" s="10"/>
    </row>
    <row r="65" spans="1:9" x14ac:dyDescent="0.25">
      <c r="A65" t="s">
        <v>257</v>
      </c>
      <c r="B65" t="s">
        <v>892</v>
      </c>
      <c r="C65" s="10">
        <v>50000</v>
      </c>
      <c r="D65" s="10">
        <v>0</v>
      </c>
      <c r="E65" s="10">
        <v>50000</v>
      </c>
      <c r="F65" s="10">
        <v>30000</v>
      </c>
      <c r="G65" s="10">
        <v>30000</v>
      </c>
      <c r="H65" s="10">
        <v>5000</v>
      </c>
      <c r="I65" s="10">
        <v>5000</v>
      </c>
    </row>
    <row r="66" spans="1:9" x14ac:dyDescent="0.25">
      <c r="A66" t="s">
        <v>107</v>
      </c>
      <c r="C66" s="10"/>
      <c r="D66" s="10"/>
      <c r="E66" s="10"/>
      <c r="F66" s="10"/>
      <c r="G66" s="10"/>
      <c r="H66" s="10"/>
      <c r="I66" s="10"/>
    </row>
    <row r="67" spans="1:9" x14ac:dyDescent="0.25">
      <c r="A67" t="s">
        <v>258</v>
      </c>
      <c r="B67" t="s">
        <v>93</v>
      </c>
      <c r="C67" s="10">
        <v>500</v>
      </c>
      <c r="D67" s="10">
        <v>1349</v>
      </c>
      <c r="E67" s="10">
        <v>500</v>
      </c>
      <c r="F67" s="10">
        <v>443</v>
      </c>
      <c r="G67" s="10">
        <v>500</v>
      </c>
      <c r="H67" s="10">
        <v>750.99</v>
      </c>
      <c r="I67" s="10">
        <v>1487</v>
      </c>
    </row>
    <row r="68" spans="1:9" x14ac:dyDescent="0.25">
      <c r="A68" t="s">
        <v>259</v>
      </c>
      <c r="B68" t="s">
        <v>596</v>
      </c>
      <c r="C68" s="10">
        <v>2000</v>
      </c>
      <c r="D68" s="10">
        <v>1541.73</v>
      </c>
      <c r="E68" s="10">
        <v>2000</v>
      </c>
      <c r="F68" s="10">
        <v>2422.08</v>
      </c>
      <c r="G68" s="10">
        <v>2000</v>
      </c>
      <c r="H68" s="10">
        <v>2011.87</v>
      </c>
      <c r="I68" s="10">
        <v>1823</v>
      </c>
    </row>
    <row r="69" spans="1:9" x14ac:dyDescent="0.25">
      <c r="A69" t="s">
        <v>783</v>
      </c>
      <c r="B69" s="27" t="s">
        <v>925</v>
      </c>
      <c r="C69" s="57">
        <v>1500</v>
      </c>
      <c r="D69" s="57">
        <v>859.98</v>
      </c>
      <c r="E69" s="57">
        <v>1500</v>
      </c>
      <c r="F69" s="57">
        <v>936.34</v>
      </c>
      <c r="G69" s="57">
        <v>1500</v>
      </c>
      <c r="H69" s="57">
        <v>2249.7600000000002</v>
      </c>
      <c r="I69" s="10">
        <v>193.76</v>
      </c>
    </row>
    <row r="70" spans="1:9" x14ac:dyDescent="0.25">
      <c r="A70" t="s">
        <v>260</v>
      </c>
      <c r="B70" t="s">
        <v>91</v>
      </c>
      <c r="C70" s="10">
        <v>10000</v>
      </c>
      <c r="D70" s="10">
        <v>11186.11</v>
      </c>
      <c r="E70" s="10">
        <v>7500</v>
      </c>
      <c r="F70" s="10">
        <v>1695</v>
      </c>
      <c r="G70" s="10">
        <v>7500</v>
      </c>
      <c r="H70" s="10">
        <v>5468.42</v>
      </c>
      <c r="I70" s="10">
        <v>6853.37</v>
      </c>
    </row>
    <row r="71" spans="1:9" x14ac:dyDescent="0.25">
      <c r="A71" t="s">
        <v>261</v>
      </c>
      <c r="B71" t="s">
        <v>108</v>
      </c>
      <c r="C71" s="10">
        <v>500</v>
      </c>
      <c r="D71" s="10">
        <v>97.5</v>
      </c>
      <c r="E71" s="10">
        <v>500</v>
      </c>
      <c r="F71" s="10">
        <v>100</v>
      </c>
      <c r="G71" s="10">
        <v>500</v>
      </c>
      <c r="H71" s="10">
        <v>171.39</v>
      </c>
      <c r="I71" s="10">
        <v>503.63</v>
      </c>
    </row>
    <row r="72" spans="1:9" x14ac:dyDescent="0.25">
      <c r="C72" s="10"/>
      <c r="D72" s="10"/>
      <c r="E72" s="10"/>
      <c r="F72" s="10"/>
      <c r="G72" s="10"/>
      <c r="H72" s="10"/>
      <c r="I72" s="10"/>
    </row>
    <row r="73" spans="1:9" x14ac:dyDescent="0.25">
      <c r="A73" s="33"/>
      <c r="B73" s="27" t="s">
        <v>58</v>
      </c>
      <c r="C73" s="57">
        <f>SUM(C17:C71)</f>
        <v>115377.3</v>
      </c>
      <c r="D73" s="57">
        <f>SUM(D17:D71)</f>
        <v>57587.98</v>
      </c>
      <c r="E73" s="57">
        <f>SUM(E17:E71)</f>
        <v>111586</v>
      </c>
      <c r="F73" s="57">
        <f>SUM(F17:F71)</f>
        <v>185154.94999999998</v>
      </c>
      <c r="G73" s="57">
        <f>SUM(G17:G72)</f>
        <v>109436</v>
      </c>
      <c r="H73" s="57">
        <f>SUM(H17:H72)</f>
        <v>98262.739999999991</v>
      </c>
      <c r="I73" s="57">
        <f>SUM(I16:I72)</f>
        <v>92038.719999999987</v>
      </c>
    </row>
    <row r="74" spans="1:9" x14ac:dyDescent="0.25">
      <c r="A74" s="40"/>
      <c r="I74" s="10"/>
    </row>
    <row r="75" spans="1:9" x14ac:dyDescent="0.25">
      <c r="A75" s="114" t="s">
        <v>907</v>
      </c>
    </row>
    <row r="76" spans="1:9" x14ac:dyDescent="0.25">
      <c r="A76" s="33" t="s">
        <v>924</v>
      </c>
    </row>
    <row r="77" spans="1:9" x14ac:dyDescent="0.25">
      <c r="A77" t="s">
        <v>883</v>
      </c>
    </row>
    <row r="80" spans="1:9" x14ac:dyDescent="0.25">
      <c r="A80" s="129">
        <v>2018</v>
      </c>
    </row>
    <row r="81" spans="1:8" x14ac:dyDescent="0.25">
      <c r="A81" s="148" t="s">
        <v>1049</v>
      </c>
      <c r="B81" s="148" t="s">
        <v>1160</v>
      </c>
      <c r="G81" s="136" t="s">
        <v>1055</v>
      </c>
    </row>
    <row r="82" spans="1:8" x14ac:dyDescent="0.25">
      <c r="A82" s="148" t="s">
        <v>1047</v>
      </c>
      <c r="B82" s="148" t="s">
        <v>1048</v>
      </c>
      <c r="C82" s="148"/>
      <c r="D82" s="148"/>
      <c r="G82" s="136" t="s">
        <v>1056</v>
      </c>
      <c r="H82" s="27" t="s">
        <v>1059</v>
      </c>
    </row>
    <row r="83" spans="1:8" x14ac:dyDescent="0.25">
      <c r="A83" s="148" t="s">
        <v>1054</v>
      </c>
      <c r="B83" s="148" t="s">
        <v>1050</v>
      </c>
    </row>
    <row r="84" spans="1:8" x14ac:dyDescent="0.25">
      <c r="A84" t="s">
        <v>1051</v>
      </c>
      <c r="B84" s="141" t="s">
        <v>1061</v>
      </c>
      <c r="C84" s="141"/>
      <c r="D84" s="141"/>
      <c r="E84" s="141"/>
      <c r="F84" s="141"/>
    </row>
    <row r="85" spans="1:8" x14ac:dyDescent="0.25">
      <c r="A85" s="148" t="s">
        <v>1052</v>
      </c>
      <c r="B85" s="151">
        <v>8000</v>
      </c>
      <c r="C85" s="140"/>
      <c r="D85" s="140"/>
      <c r="E85" s="140"/>
      <c r="F85" s="140"/>
    </row>
    <row r="86" spans="1:8" x14ac:dyDescent="0.25">
      <c r="A86" s="148" t="s">
        <v>1053</v>
      </c>
      <c r="B86" s="151">
        <v>30000</v>
      </c>
      <c r="C86" s="151"/>
      <c r="D86" s="151"/>
      <c r="E86" s="140"/>
      <c r="F86" s="140"/>
      <c r="G86" s="27"/>
    </row>
    <row r="87" spans="1:8" x14ac:dyDescent="0.25">
      <c r="A87" s="51"/>
    </row>
    <row r="88" spans="1:8" x14ac:dyDescent="0.25">
      <c r="A88" s="51" t="s">
        <v>1058</v>
      </c>
    </row>
    <row r="89" spans="1:8" x14ac:dyDescent="0.25">
      <c r="A89" s="51" t="s">
        <v>1057</v>
      </c>
    </row>
    <row r="90" spans="1:8" x14ac:dyDescent="0.25">
      <c r="A90" s="51" t="s">
        <v>1060</v>
      </c>
    </row>
    <row r="92" spans="1:8" x14ac:dyDescent="0.25">
      <c r="A92" s="129">
        <v>2019</v>
      </c>
    </row>
    <row r="93" spans="1:8" x14ac:dyDescent="0.25">
      <c r="A93" s="148" t="s">
        <v>1125</v>
      </c>
      <c r="B93" s="163" t="s">
        <v>1160</v>
      </c>
      <c r="C93" s="150"/>
      <c r="D93" s="150"/>
      <c r="E93" s="27" t="s">
        <v>1178</v>
      </c>
    </row>
    <row r="94" spans="1:8" x14ac:dyDescent="0.25">
      <c r="A94" t="s">
        <v>1051</v>
      </c>
      <c r="B94" s="141">
        <v>500000</v>
      </c>
      <c r="C94" s="141"/>
      <c r="D94" s="141"/>
      <c r="E94" s="27" t="s">
        <v>1179</v>
      </c>
    </row>
    <row r="95" spans="1:8" x14ac:dyDescent="0.25">
      <c r="A95" s="148" t="s">
        <v>1052</v>
      </c>
      <c r="B95" s="151">
        <v>8000</v>
      </c>
      <c r="C95" s="140"/>
      <c r="D95" s="140"/>
    </row>
    <row r="96" spans="1:8" x14ac:dyDescent="0.25">
      <c r="A96" s="148" t="s">
        <v>1054</v>
      </c>
      <c r="B96" s="148" t="s">
        <v>1050</v>
      </c>
      <c r="E96" s="27" t="s">
        <v>1177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workbookViewId="0">
      <selection activeCell="D15" sqref="D15"/>
    </sheetView>
  </sheetViews>
  <sheetFormatPr defaultRowHeight="13.2" x14ac:dyDescent="0.25"/>
  <cols>
    <col min="1" max="1" width="16.109375" customWidth="1"/>
    <col min="2" max="2" width="21.5546875" bestFit="1" customWidth="1"/>
    <col min="3" max="4" width="11.6640625" customWidth="1"/>
    <col min="5" max="5" width="10.33203125" customWidth="1"/>
    <col min="6" max="6" width="11.88671875" bestFit="1" customWidth="1"/>
    <col min="12" max="12" width="17" bestFit="1" customWidth="1"/>
    <col min="13" max="13" width="22.33203125" customWidth="1"/>
    <col min="14" max="14" width="24.33203125" bestFit="1" customWidth="1"/>
  </cols>
  <sheetData>
    <row r="1" spans="1:14" ht="15.6" x14ac:dyDescent="0.3">
      <c r="B1" s="14" t="s">
        <v>1180</v>
      </c>
      <c r="C1" s="1">
        <v>2020</v>
      </c>
      <c r="D1" s="1">
        <v>2019</v>
      </c>
      <c r="E1" s="42">
        <v>2019</v>
      </c>
      <c r="F1" s="42">
        <v>2018</v>
      </c>
      <c r="G1" s="42">
        <v>2018</v>
      </c>
      <c r="H1" s="42">
        <v>2017</v>
      </c>
      <c r="I1" s="42">
        <v>2016</v>
      </c>
      <c r="L1" s="157" t="s">
        <v>1186</v>
      </c>
    </row>
    <row r="2" spans="1:14" x14ac:dyDescent="0.25">
      <c r="C2" s="1" t="s">
        <v>506</v>
      </c>
      <c r="D2" s="1" t="s">
        <v>1206</v>
      </c>
      <c r="E2" s="42" t="s">
        <v>506</v>
      </c>
      <c r="F2" s="42" t="s">
        <v>807</v>
      </c>
      <c r="G2" s="42" t="s">
        <v>506</v>
      </c>
      <c r="H2" s="42" t="s">
        <v>807</v>
      </c>
      <c r="I2" s="42" t="s">
        <v>807</v>
      </c>
    </row>
    <row r="3" spans="1:14" x14ac:dyDescent="0.25">
      <c r="B3" s="30"/>
      <c r="C3" s="30"/>
      <c r="D3" s="30"/>
      <c r="E3" s="30"/>
      <c r="F3" s="30"/>
      <c r="G3" s="30"/>
      <c r="H3" s="30"/>
      <c r="I3" s="30"/>
    </row>
    <row r="4" spans="1:14" x14ac:dyDescent="0.25">
      <c r="A4" s="27" t="s">
        <v>78</v>
      </c>
      <c r="L4" s="129" t="s">
        <v>1183</v>
      </c>
      <c r="M4" s="129" t="s">
        <v>1182</v>
      </c>
      <c r="N4" s="129" t="s">
        <v>1184</v>
      </c>
    </row>
    <row r="5" spans="1:14" x14ac:dyDescent="0.25">
      <c r="A5" s="27" t="s">
        <v>1214</v>
      </c>
      <c r="B5" s="27" t="s">
        <v>1215</v>
      </c>
      <c r="C5" s="10">
        <v>0</v>
      </c>
      <c r="D5" s="10">
        <v>167714.87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L5" s="129"/>
      <c r="M5" s="129"/>
      <c r="N5" s="129"/>
    </row>
    <row r="6" spans="1:14" x14ac:dyDescent="0.25">
      <c r="A6" s="27" t="s">
        <v>1187</v>
      </c>
      <c r="B6" s="27" t="s">
        <v>697</v>
      </c>
      <c r="C6" s="57">
        <v>0</v>
      </c>
      <c r="D6" s="57">
        <v>203.47</v>
      </c>
      <c r="E6" s="10">
        <v>100</v>
      </c>
      <c r="F6" s="10">
        <v>44.35</v>
      </c>
      <c r="G6" s="10">
        <v>0</v>
      </c>
      <c r="H6" s="10">
        <v>70.11</v>
      </c>
      <c r="I6" s="10">
        <v>50.55</v>
      </c>
      <c r="L6">
        <v>2018</v>
      </c>
      <c r="M6" s="10">
        <v>25000</v>
      </c>
      <c r="N6" s="10">
        <v>20000</v>
      </c>
    </row>
    <row r="7" spans="1:14" x14ac:dyDescent="0.25">
      <c r="A7" s="27" t="s">
        <v>1188</v>
      </c>
      <c r="B7" s="27" t="s">
        <v>574</v>
      </c>
      <c r="C7" s="57">
        <v>0</v>
      </c>
      <c r="D7" s="57">
        <v>3525</v>
      </c>
      <c r="E7" s="10">
        <v>0</v>
      </c>
      <c r="F7" s="10">
        <v>14135.75</v>
      </c>
      <c r="G7" s="10">
        <v>0</v>
      </c>
      <c r="H7" s="10">
        <v>0</v>
      </c>
      <c r="I7" s="10">
        <v>0</v>
      </c>
      <c r="L7">
        <v>2019</v>
      </c>
      <c r="M7" s="10">
        <v>25000</v>
      </c>
      <c r="N7" s="10">
        <v>20000</v>
      </c>
    </row>
    <row r="8" spans="1:14" x14ac:dyDescent="0.25">
      <c r="A8" s="27" t="s">
        <v>1189</v>
      </c>
      <c r="B8" s="27" t="s">
        <v>44</v>
      </c>
      <c r="C8" s="57">
        <v>50000</v>
      </c>
      <c r="D8" s="57">
        <v>78000</v>
      </c>
      <c r="E8" s="10">
        <v>50000</v>
      </c>
      <c r="F8" s="10">
        <v>50000</v>
      </c>
      <c r="G8" s="10">
        <v>30000</v>
      </c>
      <c r="H8" s="10">
        <v>30000</v>
      </c>
      <c r="I8" s="10">
        <v>5000</v>
      </c>
      <c r="L8">
        <v>2020</v>
      </c>
      <c r="M8" s="10">
        <v>0</v>
      </c>
      <c r="N8" s="10">
        <v>0</v>
      </c>
    </row>
    <row r="9" spans="1:14" x14ac:dyDescent="0.25">
      <c r="C9" s="10"/>
      <c r="D9" s="10"/>
      <c r="E9" s="10"/>
      <c r="F9" s="10"/>
      <c r="G9" s="10"/>
      <c r="H9" s="10"/>
      <c r="I9" s="10"/>
      <c r="L9">
        <v>2021</v>
      </c>
      <c r="M9" s="10">
        <v>0</v>
      </c>
      <c r="N9" s="10">
        <v>0</v>
      </c>
    </row>
    <row r="10" spans="1:14" x14ac:dyDescent="0.25">
      <c r="B10" s="27" t="s">
        <v>748</v>
      </c>
      <c r="C10" s="57">
        <f>SUM(C5:C8)</f>
        <v>50000</v>
      </c>
      <c r="D10" s="57">
        <f>SUM(D5:D8)</f>
        <v>249443.34</v>
      </c>
      <c r="E10" s="10">
        <f t="shared" ref="E10:I10" si="0">SUM(E6:E9)</f>
        <v>50100</v>
      </c>
      <c r="F10" s="10">
        <f t="shared" si="0"/>
        <v>64180.1</v>
      </c>
      <c r="G10" s="10">
        <f t="shared" si="0"/>
        <v>30000</v>
      </c>
      <c r="H10" s="10">
        <f t="shared" si="0"/>
        <v>30070.11</v>
      </c>
      <c r="I10" s="10">
        <f t="shared" si="0"/>
        <v>5050.55</v>
      </c>
      <c r="M10" s="10"/>
      <c r="N10" s="10"/>
    </row>
    <row r="11" spans="1:14" x14ac:dyDescent="0.25">
      <c r="B11" s="27"/>
      <c r="C11" s="57"/>
      <c r="D11" s="57"/>
      <c r="E11" s="10"/>
      <c r="F11" s="10"/>
      <c r="G11" s="10"/>
      <c r="H11" s="10"/>
      <c r="I11" s="10"/>
      <c r="M11" s="10"/>
      <c r="N11" s="10"/>
    </row>
    <row r="12" spans="1:14" x14ac:dyDescent="0.25">
      <c r="A12" s="27"/>
      <c r="B12" s="27"/>
      <c r="C12" s="57"/>
      <c r="D12" s="57"/>
      <c r="E12" s="57"/>
      <c r="F12" s="10"/>
      <c r="G12" s="10"/>
      <c r="H12" s="10"/>
      <c r="I12" s="10"/>
      <c r="M12" s="10"/>
      <c r="N12" s="10"/>
    </row>
    <row r="13" spans="1:14" x14ac:dyDescent="0.25">
      <c r="A13" t="s">
        <v>79</v>
      </c>
      <c r="C13" s="10"/>
      <c r="D13" s="10"/>
      <c r="M13" s="10"/>
      <c r="N13" s="10"/>
    </row>
    <row r="14" spans="1:14" x14ac:dyDescent="0.25">
      <c r="A14" s="27" t="s">
        <v>1190</v>
      </c>
      <c r="B14" s="27" t="s">
        <v>114</v>
      </c>
      <c r="C14" s="57">
        <v>0</v>
      </c>
      <c r="D14" s="57">
        <v>229817.06</v>
      </c>
      <c r="E14" s="57">
        <v>0</v>
      </c>
      <c r="F14" s="57">
        <v>50045.35</v>
      </c>
      <c r="G14" s="57">
        <v>0</v>
      </c>
      <c r="H14" s="57">
        <v>0</v>
      </c>
      <c r="I14" s="10">
        <v>16888</v>
      </c>
      <c r="L14" s="51" t="s">
        <v>1185</v>
      </c>
      <c r="M14" s="10">
        <f>SUM(M6:M13)</f>
        <v>50000</v>
      </c>
      <c r="N14" s="10">
        <f>SUM(N6:N13)</f>
        <v>40000</v>
      </c>
    </row>
    <row r="15" spans="1:14" x14ac:dyDescent="0.25">
      <c r="A15" s="27" t="s">
        <v>1221</v>
      </c>
      <c r="B15" s="27" t="s">
        <v>1222</v>
      </c>
      <c r="C15" s="57">
        <v>0</v>
      </c>
      <c r="D15" s="57">
        <v>2610</v>
      </c>
      <c r="E15" s="57">
        <v>0</v>
      </c>
      <c r="F15" s="57">
        <v>0</v>
      </c>
      <c r="G15" s="57">
        <v>0</v>
      </c>
      <c r="H15" s="57">
        <v>0</v>
      </c>
      <c r="I15" s="10">
        <v>0</v>
      </c>
      <c r="L15" s="51"/>
      <c r="M15" s="10"/>
      <c r="N15" s="10"/>
    </row>
    <row r="16" spans="1:14" x14ac:dyDescent="0.25">
      <c r="A16" s="27"/>
      <c r="C16" s="10"/>
      <c r="D16" s="10"/>
      <c r="E16" s="10"/>
      <c r="F16" s="10"/>
      <c r="G16" s="10"/>
      <c r="H16" s="10"/>
      <c r="I16" s="10"/>
      <c r="L16" s="27" t="s">
        <v>1296</v>
      </c>
      <c r="M16" s="10"/>
      <c r="N16" s="10">
        <v>11679.87</v>
      </c>
    </row>
    <row r="17" spans="1:14" x14ac:dyDescent="0.25">
      <c r="B17" t="s">
        <v>748</v>
      </c>
      <c r="C17" s="10">
        <v>0</v>
      </c>
      <c r="D17" s="10">
        <f>SUM(D14:D16)</f>
        <v>232427.06</v>
      </c>
      <c r="E17" s="10">
        <f>SUM(E14:E14)</f>
        <v>0</v>
      </c>
      <c r="F17" s="10">
        <f>SUM(F14:F14)</f>
        <v>50045.35</v>
      </c>
      <c r="G17" s="10">
        <f>SUM(G14:G16)</f>
        <v>0</v>
      </c>
      <c r="H17" s="10">
        <f>SUM(H14:H16)</f>
        <v>0</v>
      </c>
      <c r="I17" s="10">
        <v>7824</v>
      </c>
      <c r="M17" s="10"/>
      <c r="N17" s="10"/>
    </row>
    <row r="18" spans="1:14" x14ac:dyDescent="0.25">
      <c r="L18" s="27" t="s">
        <v>1297</v>
      </c>
      <c r="M18" s="10">
        <f>M14</f>
        <v>50000</v>
      </c>
      <c r="N18" s="10">
        <f>N14-N16</f>
        <v>28320.129999999997</v>
      </c>
    </row>
    <row r="19" spans="1:14" x14ac:dyDescent="0.25">
      <c r="M19" s="10"/>
      <c r="N19" s="10"/>
    </row>
    <row r="20" spans="1:14" x14ac:dyDescent="0.25">
      <c r="M20" s="10"/>
      <c r="N20" s="10"/>
    </row>
    <row r="21" spans="1:14" x14ac:dyDescent="0.25">
      <c r="A21" s="27"/>
      <c r="M21" s="10"/>
      <c r="N21" s="10"/>
    </row>
    <row r="22" spans="1:14" x14ac:dyDescent="0.25">
      <c r="A22" s="51" t="s">
        <v>1288</v>
      </c>
      <c r="B22" s="144">
        <v>78320.13</v>
      </c>
      <c r="M22" s="10"/>
      <c r="N22" s="10"/>
    </row>
    <row r="23" spans="1:14" x14ac:dyDescent="0.25">
      <c r="B23" s="179">
        <v>50000</v>
      </c>
      <c r="C23" s="27" t="s">
        <v>1293</v>
      </c>
      <c r="M23" s="10"/>
      <c r="N23" s="10"/>
    </row>
    <row r="24" spans="1:14" x14ac:dyDescent="0.25">
      <c r="B24" s="180">
        <v>40000</v>
      </c>
      <c r="C24" s="27" t="s">
        <v>1294</v>
      </c>
      <c r="M24" s="10"/>
      <c r="N24" s="10"/>
    </row>
    <row r="25" spans="1:14" x14ac:dyDescent="0.25">
      <c r="B25" s="178">
        <v>11679.87</v>
      </c>
      <c r="C25" s="27" t="s">
        <v>1295</v>
      </c>
      <c r="M25" s="10"/>
      <c r="N25" s="10"/>
    </row>
    <row r="26" spans="1:14" x14ac:dyDescent="0.25">
      <c r="A26" s="51" t="s">
        <v>58</v>
      </c>
      <c r="B26" s="177">
        <f>B22-B23-B24+B25</f>
        <v>0</v>
      </c>
      <c r="C26" s="27"/>
      <c r="M26" s="10"/>
      <c r="N26" s="10"/>
    </row>
    <row r="27" spans="1:14" x14ac:dyDescent="0.25">
      <c r="M27" s="10"/>
      <c r="N27" s="10"/>
    </row>
    <row r="28" spans="1:14" x14ac:dyDescent="0.25">
      <c r="M28" s="10"/>
      <c r="N28" s="10"/>
    </row>
  </sheetData>
  <pageMargins left="0.7" right="0.7" top="0.75" bottom="0.75" header="0.3" footer="0.3"/>
  <pageSetup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C15"/>
    </sheetView>
  </sheetViews>
  <sheetFormatPr defaultRowHeight="13.2" x14ac:dyDescent="0.25"/>
  <cols>
    <col min="1" max="1" width="20.109375" customWidth="1"/>
    <col min="2" max="2" width="20.88671875" bestFit="1" customWidth="1"/>
    <col min="3" max="9" width="11.6640625" customWidth="1"/>
  </cols>
  <sheetData>
    <row r="1" spans="1:9" ht="15.6" x14ac:dyDescent="0.3">
      <c r="B1" s="14" t="s">
        <v>745</v>
      </c>
      <c r="C1" s="1">
        <v>2020</v>
      </c>
      <c r="D1" s="1">
        <v>2019</v>
      </c>
      <c r="E1" s="42">
        <v>2019</v>
      </c>
      <c r="F1" s="42">
        <v>2018</v>
      </c>
      <c r="G1" s="42">
        <v>2018</v>
      </c>
      <c r="H1" s="42">
        <v>2017</v>
      </c>
      <c r="I1" s="42">
        <v>2017</v>
      </c>
    </row>
    <row r="2" spans="1:9" x14ac:dyDescent="0.25">
      <c r="C2" s="1" t="s">
        <v>506</v>
      </c>
      <c r="D2" s="1" t="s">
        <v>1206</v>
      </c>
      <c r="E2" s="42" t="s">
        <v>506</v>
      </c>
      <c r="F2" s="42" t="s">
        <v>807</v>
      </c>
      <c r="G2" s="42" t="s">
        <v>506</v>
      </c>
      <c r="H2" s="42" t="s">
        <v>807</v>
      </c>
      <c r="I2" s="42" t="s">
        <v>506</v>
      </c>
    </row>
    <row r="3" spans="1:9" x14ac:dyDescent="0.25"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t="s">
        <v>79</v>
      </c>
    </row>
    <row r="5" spans="1:9" x14ac:dyDescent="0.25">
      <c r="A5" s="27" t="s">
        <v>905</v>
      </c>
      <c r="B5" s="27" t="s">
        <v>906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3000</v>
      </c>
      <c r="I5" s="10">
        <v>3000</v>
      </c>
    </row>
    <row r="6" spans="1:9" x14ac:dyDescent="0.25">
      <c r="A6" t="s">
        <v>746</v>
      </c>
      <c r="B6" t="s">
        <v>747</v>
      </c>
      <c r="C6" s="10">
        <v>8000</v>
      </c>
      <c r="D6" s="10">
        <v>7824</v>
      </c>
      <c r="E6" s="10">
        <v>8000</v>
      </c>
      <c r="F6" s="10">
        <v>7824</v>
      </c>
      <c r="G6" s="10">
        <v>8000</v>
      </c>
      <c r="H6" s="10">
        <v>7824</v>
      </c>
      <c r="I6" s="10">
        <v>8000</v>
      </c>
    </row>
    <row r="7" spans="1:9" x14ac:dyDescent="0.25">
      <c r="A7" s="27"/>
      <c r="C7" s="10"/>
      <c r="D7" s="10"/>
      <c r="E7" s="10"/>
      <c r="F7" s="10"/>
      <c r="G7" s="10"/>
      <c r="H7" s="10"/>
      <c r="I7" s="10"/>
    </row>
    <row r="8" spans="1:9" x14ac:dyDescent="0.25">
      <c r="B8" t="s">
        <v>748</v>
      </c>
      <c r="C8" s="10">
        <f>SUM(C5:C7)</f>
        <v>8000</v>
      </c>
      <c r="D8" s="10">
        <f>SUM(D5:D7)</f>
        <v>7824</v>
      </c>
      <c r="E8" s="10">
        <f>SUM(E5:E6)</f>
        <v>8000</v>
      </c>
      <c r="F8" s="10">
        <f>SUM(F5:F6)</f>
        <v>7824</v>
      </c>
      <c r="G8" s="10">
        <f>SUM(G5:G7)</f>
        <v>8000</v>
      </c>
      <c r="H8" s="10">
        <f>SUM(H5:H7)</f>
        <v>10824</v>
      </c>
      <c r="I8" s="10">
        <v>8000</v>
      </c>
    </row>
    <row r="9" spans="1:9" x14ac:dyDescent="0.25">
      <c r="A9" s="27"/>
    </row>
    <row r="10" spans="1:9" x14ac:dyDescent="0.25">
      <c r="A10" s="27"/>
    </row>
    <row r="12" spans="1:9" x14ac:dyDescent="0.25">
      <c r="A12" s="27" t="s">
        <v>768</v>
      </c>
    </row>
    <row r="13" spans="1:9" x14ac:dyDescent="0.25">
      <c r="A13" t="s">
        <v>1029</v>
      </c>
    </row>
    <row r="14" spans="1:9" x14ac:dyDescent="0.25">
      <c r="A14" s="27" t="s">
        <v>1030</v>
      </c>
    </row>
    <row r="15" spans="1:9" x14ac:dyDescent="0.25">
      <c r="A15" s="27"/>
    </row>
    <row r="16" spans="1:9" x14ac:dyDescent="0.25">
      <c r="A16" s="28"/>
      <c r="B16" s="27"/>
      <c r="C16" s="27"/>
      <c r="D16" s="27"/>
      <c r="E16" s="27"/>
      <c r="F16" s="27"/>
      <c r="G16" s="27"/>
      <c r="H16" s="27"/>
      <c r="I16" s="27"/>
    </row>
    <row r="17" spans="1:9" x14ac:dyDescent="0.25">
      <c r="A17" s="27"/>
      <c r="B17" s="27"/>
      <c r="C17" s="27"/>
      <c r="D17" s="27"/>
      <c r="E17" s="27"/>
      <c r="F17" s="27"/>
      <c r="G17" s="27"/>
      <c r="H17" s="27"/>
      <c r="I17" s="27"/>
    </row>
    <row r="18" spans="1:9" x14ac:dyDescent="0.25">
      <c r="A18" s="27"/>
      <c r="B18" s="27"/>
      <c r="C18" s="27"/>
      <c r="D18" s="27"/>
      <c r="E18" s="27"/>
      <c r="F18" s="27"/>
      <c r="G18" s="27"/>
      <c r="H18" s="27"/>
      <c r="I18" s="27"/>
    </row>
    <row r="20" spans="1:9" x14ac:dyDescent="0.25">
      <c r="A20" s="27"/>
    </row>
    <row r="21" spans="1:9" x14ac:dyDescent="0.25">
      <c r="A21" s="27"/>
    </row>
    <row r="23" spans="1:9" x14ac:dyDescent="0.25">
      <c r="A23" s="27"/>
      <c r="B23" s="27"/>
      <c r="C23" s="27"/>
      <c r="D23" s="27"/>
      <c r="E23" s="27"/>
      <c r="F23" s="27"/>
      <c r="G23" s="27"/>
      <c r="H23" s="27"/>
      <c r="I23" s="27"/>
    </row>
    <row r="24" spans="1:9" x14ac:dyDescent="0.25">
      <c r="A24" s="27"/>
    </row>
    <row r="25" spans="1:9" x14ac:dyDescent="0.25">
      <c r="A25" s="27"/>
    </row>
    <row r="26" spans="1:9" x14ac:dyDescent="0.25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5">
      <c r="B27" s="25"/>
      <c r="C27" s="25"/>
      <c r="D27" s="25"/>
      <c r="E27" s="25"/>
      <c r="F27" s="25"/>
      <c r="G27" s="25"/>
      <c r="H27" s="25"/>
      <c r="I27" s="2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BUDGET SUMMARY</vt:lpstr>
      <vt:lpstr>General Fund Revenues</vt:lpstr>
      <vt:lpstr>Elections</vt:lpstr>
      <vt:lpstr>Council</vt:lpstr>
      <vt:lpstr>Administration</vt:lpstr>
      <vt:lpstr>Police</vt:lpstr>
      <vt:lpstr>Fire</vt:lpstr>
      <vt:lpstr>Fire Equip</vt:lpstr>
      <vt:lpstr>Ambulance</vt:lpstr>
      <vt:lpstr>Emergency Mgmt</vt:lpstr>
      <vt:lpstr>Animal Control</vt:lpstr>
      <vt:lpstr>Streets</vt:lpstr>
      <vt:lpstr>Recycling</vt:lpstr>
      <vt:lpstr>Parks</vt:lpstr>
      <vt:lpstr>SWIM Center</vt:lpstr>
      <vt:lpstr>Recreation</vt:lpstr>
      <vt:lpstr>Old Pool</vt:lpstr>
      <vt:lpstr>Special Revenue Funds-Fest Bldg</vt:lpstr>
      <vt:lpstr>EDA</vt:lpstr>
      <vt:lpstr>Tax Abate LAX</vt:lpstr>
      <vt:lpstr>Street Infrastructure</vt:lpstr>
      <vt:lpstr>Capital Equipment</vt:lpstr>
      <vt:lpstr>Electric Infrastructure</vt:lpstr>
      <vt:lpstr>Contingency</vt:lpstr>
      <vt:lpstr>Sewer Infrastructure</vt:lpstr>
      <vt:lpstr>Water Infrastructure</vt:lpstr>
      <vt:lpstr>Cable TV</vt:lpstr>
      <vt:lpstr>Enterprise Funds-Electric</vt:lpstr>
      <vt:lpstr>Enterprise Funds-Water</vt:lpstr>
      <vt:lpstr>Enterprise Funds-Sewer</vt:lpstr>
      <vt:lpstr>Library</vt:lpstr>
      <vt:lpstr>Enterprise Funds-Liquor Store</vt:lpstr>
      <vt:lpstr>Debt Service Summary</vt:lpstr>
      <vt:lpstr>Nisse Treehouse TIF</vt:lpstr>
      <vt:lpstr>TIF 2005A (314) - REFUNDED</vt:lpstr>
      <vt:lpstr>TAX ABATE 2012A (315)</vt:lpstr>
      <vt:lpstr>TIF 2007A (318)</vt:lpstr>
      <vt:lpstr>TIF GO 2015 (319)</vt:lpstr>
      <vt:lpstr>Hwy 44 Bond 2013</vt:lpstr>
      <vt:lpstr>EDA Operating</vt:lpstr>
      <vt:lpstr>EDA Revolving</vt:lpstr>
      <vt:lpstr>EDA Rev Bond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Erin Konkel</cp:lastModifiedBy>
  <cp:lastPrinted>2020-06-02T16:46:45Z</cp:lastPrinted>
  <dcterms:created xsi:type="dcterms:W3CDTF">2007-07-11T17:02:23Z</dcterms:created>
  <dcterms:modified xsi:type="dcterms:W3CDTF">2020-10-14T18:15:10Z</dcterms:modified>
</cp:coreProperties>
</file>