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Budget 2021\"/>
    </mc:Choice>
  </mc:AlternateContent>
  <xr:revisionPtr revIDLastSave="0" documentId="13_ncr:1_{5D532E50-CF10-4175-B962-1D6354744994}" xr6:coauthVersionLast="47" xr6:coauthVersionMax="47" xr10:uidLastSave="{00000000-0000-0000-0000-000000000000}"/>
  <bookViews>
    <workbookView xWindow="-108" yWindow="-108" windowWidth="23256" windowHeight="12576" tabRatio="734" activeTab="6" xr2:uid="{00000000-000D-0000-FFFF-FFFF00000000}"/>
  </bookViews>
  <sheets>
    <sheet name="BUDGET SUMMARY" sheetId="38" r:id="rId1"/>
    <sheet name="General Fund Revenues" sheetId="37" r:id="rId2"/>
    <sheet name="Elections" sheetId="36" r:id="rId3"/>
    <sheet name="Council" sheetId="2" r:id="rId4"/>
    <sheet name="Administration" sheetId="3" r:id="rId5"/>
    <sheet name="COVID" sheetId="75" r:id="rId6"/>
    <sheet name="Police" sheetId="8" r:id="rId7"/>
    <sheet name="Fire" sheetId="7" r:id="rId8"/>
    <sheet name="Fire Equip" sheetId="74" r:id="rId9"/>
    <sheet name="Ambulance" sheetId="53" r:id="rId10"/>
    <sheet name="Emergency Mgmt" sheetId="56" r:id="rId11"/>
    <sheet name="Animal Control" sheetId="45" r:id="rId12"/>
    <sheet name="Streets" sheetId="5" r:id="rId13"/>
    <sheet name="Recycling" sheetId="72" r:id="rId14"/>
    <sheet name="Parks" sheetId="4" r:id="rId15"/>
    <sheet name="SWIM Center" sheetId="13" r:id="rId16"/>
    <sheet name="Recreation" sheetId="12" r:id="rId17"/>
    <sheet name="Old Pool" sheetId="46" r:id="rId18"/>
    <sheet name="Special Revenue Funds-Fest Bldg" sheetId="23" r:id="rId19"/>
    <sheet name="EDA" sheetId="54" r:id="rId20"/>
    <sheet name="Tax Abate LAX" sheetId="71" r:id="rId21"/>
    <sheet name="Street Infrastructure" sheetId="59" r:id="rId22"/>
    <sheet name="Capital Equipment" sheetId="58" r:id="rId23"/>
    <sheet name="Electric Infrastructure" sheetId="60" r:id="rId24"/>
    <sheet name="Contingency" sheetId="57" r:id="rId25"/>
    <sheet name="Sewer Infrastructure" sheetId="61" r:id="rId26"/>
    <sheet name="Water Infrastructure" sheetId="62" r:id="rId27"/>
    <sheet name="Cable TV" sheetId="10" r:id="rId28"/>
    <sheet name="Enterprise Funds-Electric" sheetId="21" r:id="rId29"/>
    <sheet name="Enterprise Funds-Water" sheetId="20" r:id="rId30"/>
    <sheet name="Enterprise Funds-Sewer" sheetId="19" r:id="rId31"/>
    <sheet name="Library" sheetId="11" r:id="rId32"/>
    <sheet name="Enterprise Funds-Liquor Store" sheetId="18" r:id="rId33"/>
    <sheet name="Debt Service Summary" sheetId="55" r:id="rId34"/>
    <sheet name="Nisse Treehouse TIF" sheetId="73" r:id="rId35"/>
    <sheet name="TIF 2005A (314) - REFUNDED" sheetId="40" r:id="rId36"/>
    <sheet name="TAX ABATE 2012A (315)" sheetId="41" r:id="rId37"/>
    <sheet name="TIF 2007A (318)" sheetId="67" r:id="rId38"/>
    <sheet name="TIF GO 2015 (319)" sheetId="66" r:id="rId39"/>
    <sheet name="GO REFUND 2020B (325)" sheetId="76" r:id="rId40"/>
    <sheet name="Hwy 44 Bond 2013 (354)" sheetId="51" r:id="rId41"/>
    <sheet name="EDA Operating" sheetId="68" r:id="rId42"/>
    <sheet name="EDA Revolving" sheetId="69" r:id="rId43"/>
    <sheet name="EDA Rev Bond" sheetId="70" r:id="rId4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1" l="1"/>
  <c r="D5" i="37" l="1"/>
  <c r="D29" i="66"/>
  <c r="C13" i="19"/>
  <c r="H9" i="69" l="1"/>
  <c r="G9" i="69"/>
  <c r="F9" i="69"/>
  <c r="D9" i="69"/>
  <c r="D24" i="51"/>
  <c r="I71" i="5"/>
  <c r="G71" i="5"/>
  <c r="E71" i="5"/>
  <c r="E27" i="75" l="1"/>
  <c r="D67" i="3"/>
  <c r="D56" i="3"/>
  <c r="D35" i="3"/>
  <c r="J3" i="38" l="1"/>
  <c r="E21" i="38"/>
  <c r="E20" i="38"/>
  <c r="E18" i="38"/>
  <c r="E13" i="38"/>
  <c r="E11" i="38"/>
  <c r="C3" i="37"/>
  <c r="C49" i="37"/>
  <c r="A7" i="38"/>
  <c r="C20" i="37"/>
  <c r="C18" i="37"/>
  <c r="C17" i="37"/>
  <c r="C16" i="37"/>
  <c r="E13" i="55"/>
  <c r="C24" i="76"/>
  <c r="C12" i="76"/>
  <c r="E7" i="55" s="1"/>
  <c r="C12" i="51"/>
  <c r="E8" i="55" s="1"/>
  <c r="D18" i="67"/>
  <c r="D13" i="66"/>
  <c r="E5" i="55" s="1"/>
  <c r="E29" i="66"/>
  <c r="F9" i="67"/>
  <c r="E18" i="67"/>
  <c r="E14" i="41"/>
  <c r="D11" i="41"/>
  <c r="E6" i="55" s="1"/>
  <c r="C43" i="37" l="1"/>
  <c r="A10" i="38" s="1"/>
  <c r="C8" i="73"/>
  <c r="C10" i="73" s="1"/>
  <c r="C15" i="73" l="1"/>
  <c r="C33" i="21" l="1"/>
  <c r="C23" i="21"/>
  <c r="D14" i="57" l="1"/>
  <c r="C14" i="57"/>
  <c r="C8" i="57"/>
  <c r="F27" i="75" l="1"/>
  <c r="D27" i="75"/>
  <c r="E6" i="75"/>
  <c r="D20" i="70" l="1"/>
  <c r="D8" i="70"/>
  <c r="D19" i="69"/>
  <c r="D24" i="18"/>
  <c r="D23" i="18"/>
  <c r="D22" i="18"/>
  <c r="D16" i="18"/>
  <c r="D13" i="11"/>
  <c r="D17" i="11" s="1"/>
  <c r="D9" i="11"/>
  <c r="D14" i="10"/>
  <c r="D13" i="10"/>
  <c r="D12" i="10"/>
  <c r="D48" i="23"/>
  <c r="E19" i="38" s="1"/>
  <c r="D10" i="23"/>
  <c r="D36" i="12"/>
  <c r="E17" i="38" s="1"/>
  <c r="C18" i="74"/>
  <c r="C11" i="74"/>
  <c r="C72" i="7"/>
  <c r="E10" i="38" s="1"/>
  <c r="C13" i="7"/>
  <c r="C30" i="3"/>
  <c r="C29" i="3"/>
  <c r="D92" i="18" l="1"/>
  <c r="D15" i="11"/>
  <c r="D16" i="11"/>
  <c r="C22" i="3"/>
  <c r="C20" i="3"/>
  <c r="C30" i="8"/>
  <c r="C29" i="8"/>
  <c r="C25" i="8"/>
  <c r="C24" i="8"/>
  <c r="C20" i="8"/>
  <c r="C26" i="8" s="1"/>
  <c r="C15" i="8"/>
  <c r="D52" i="11" l="1"/>
  <c r="C26" i="3"/>
  <c r="C27" i="3"/>
  <c r="C25" i="3"/>
  <c r="C27" i="8"/>
  <c r="C73" i="8" s="1"/>
  <c r="E9" i="38" s="1"/>
  <c r="C16" i="3"/>
  <c r="D19" i="36"/>
  <c r="E6" i="38" s="1"/>
  <c r="D12" i="37"/>
  <c r="D9" i="37"/>
  <c r="C5" i="37"/>
  <c r="C9" i="37"/>
  <c r="A9" i="38" s="1"/>
  <c r="C71" i="3" l="1"/>
  <c r="E8" i="38" s="1"/>
  <c r="D55" i="4"/>
  <c r="E15" i="38" s="1"/>
  <c r="D24" i="5"/>
  <c r="D23" i="5"/>
  <c r="D22" i="5"/>
  <c r="C25" i="19"/>
  <c r="C24" i="19"/>
  <c r="C23" i="19"/>
  <c r="C17" i="19"/>
  <c r="D71" i="5" l="1"/>
  <c r="E14" i="38" s="1"/>
  <c r="C79" i="19"/>
  <c r="D14" i="20"/>
  <c r="D22" i="20"/>
  <c r="D21" i="20"/>
  <c r="D20" i="20"/>
  <c r="D73" i="20" s="1"/>
  <c r="C29" i="21"/>
  <c r="C28" i="21"/>
  <c r="C27" i="21"/>
  <c r="C87" i="21" l="1"/>
  <c r="C20" i="21"/>
  <c r="D34" i="10"/>
  <c r="D7" i="10"/>
  <c r="D19" i="13" l="1"/>
  <c r="D18" i="13"/>
  <c r="D11" i="13"/>
  <c r="D9" i="4"/>
  <c r="E9" i="4"/>
  <c r="E7" i="72"/>
  <c r="E12" i="72"/>
  <c r="D13" i="5"/>
  <c r="C9" i="56"/>
  <c r="E12" i="38" s="1"/>
  <c r="C28" i="2"/>
  <c r="E7" i="38" s="1"/>
  <c r="E7" i="36"/>
  <c r="D69" i="13" l="1"/>
  <c r="E16" i="38" s="1"/>
  <c r="D9" i="12"/>
  <c r="D12" i="68"/>
  <c r="D45" i="68"/>
  <c r="D43" i="37" l="1"/>
  <c r="D49" i="37"/>
  <c r="F3" i="37"/>
  <c r="E20" i="70"/>
  <c r="E8" i="70"/>
  <c r="E19" i="69"/>
  <c r="E9" i="69"/>
  <c r="E45" i="68"/>
  <c r="E12" i="68"/>
  <c r="D12" i="51"/>
  <c r="E13" i="66"/>
  <c r="G13" i="66"/>
  <c r="F13" i="66"/>
  <c r="E11" i="41"/>
  <c r="E20" i="41"/>
  <c r="D10" i="73"/>
  <c r="E92" i="18"/>
  <c r="E16" i="18"/>
  <c r="G3" i="18"/>
  <c r="E52" i="11" l="1"/>
  <c r="E9" i="11"/>
  <c r="G9" i="11"/>
  <c r="D79" i="19"/>
  <c r="F39" i="19"/>
  <c r="D17" i="19"/>
  <c r="E73" i="20"/>
  <c r="E14" i="20"/>
  <c r="G5" i="20"/>
  <c r="D87" i="21"/>
  <c r="F46" i="21"/>
  <c r="D20" i="21"/>
  <c r="E34" i="10"/>
  <c r="E7" i="10"/>
  <c r="D8" i="57"/>
  <c r="E48" i="23" l="1"/>
  <c r="E10" i="23"/>
  <c r="E36" i="12" l="1"/>
  <c r="E9" i="12"/>
  <c r="E69" i="13"/>
  <c r="G18" i="13"/>
  <c r="E11" i="13"/>
  <c r="E55" i="4"/>
  <c r="G46" i="4"/>
  <c r="G5" i="4"/>
  <c r="E13" i="5"/>
  <c r="E7" i="45"/>
  <c r="D8" i="53"/>
  <c r="B27" i="74"/>
  <c r="D18" i="74"/>
  <c r="D11" i="74"/>
  <c r="D72" i="7"/>
  <c r="F26" i="7"/>
  <c r="D13" i="7"/>
  <c r="D73" i="8"/>
  <c r="D15" i="8"/>
  <c r="D71" i="3"/>
  <c r="F59" i="3"/>
  <c r="F56" i="3"/>
  <c r="D16" i="3"/>
  <c r="D28" i="2"/>
  <c r="E19" i="36"/>
  <c r="E23" i="37" l="1"/>
  <c r="F18" i="12" l="1"/>
  <c r="F17" i="12"/>
  <c r="F43" i="37"/>
  <c r="G15" i="8"/>
  <c r="E15" i="8"/>
  <c r="E21" i="7"/>
  <c r="E20" i="7"/>
  <c r="E20" i="3" l="1"/>
  <c r="C7" i="61" l="1"/>
  <c r="E13" i="19" l="1"/>
  <c r="E3" i="37" l="1"/>
  <c r="E8" i="57"/>
  <c r="F8" i="57"/>
  <c r="E49" i="37"/>
  <c r="F49" i="37"/>
  <c r="F9" i="37"/>
  <c r="F5" i="37"/>
  <c r="E29" i="8"/>
  <c r="E29" i="3"/>
  <c r="E30" i="8" l="1"/>
  <c r="E30" i="3"/>
  <c r="E24" i="38" l="1"/>
  <c r="E5" i="37"/>
  <c r="E9" i="37"/>
  <c r="F16" i="41" l="1"/>
  <c r="F17" i="41"/>
  <c r="I18" i="41"/>
  <c r="G11" i="41"/>
  <c r="G20" i="41"/>
  <c r="F11" i="41"/>
  <c r="F18" i="67"/>
  <c r="F29" i="66"/>
  <c r="G29" i="66"/>
  <c r="G9" i="67"/>
  <c r="G18" i="67"/>
  <c r="G18" i="40"/>
  <c r="F18" i="40"/>
  <c r="F10" i="73"/>
  <c r="F20" i="41" l="1"/>
  <c r="E15" i="73"/>
  <c r="E10" i="73" l="1"/>
  <c r="F15" i="73"/>
  <c r="F20" i="70"/>
  <c r="F8" i="70"/>
  <c r="F19" i="69"/>
  <c r="F45" i="68"/>
  <c r="F12" i="68" l="1"/>
  <c r="F13" i="11"/>
  <c r="F15" i="11" s="1"/>
  <c r="F19" i="13"/>
  <c r="F18" i="13"/>
  <c r="F16" i="11" l="1"/>
  <c r="F17" i="11"/>
  <c r="E48" i="8"/>
  <c r="E7" i="54"/>
  <c r="F52" i="11" l="1"/>
  <c r="E24" i="51"/>
  <c r="F24" i="51"/>
  <c r="F12" i="51"/>
  <c r="E8" i="51"/>
  <c r="E12" i="51" s="1"/>
  <c r="F24" i="18"/>
  <c r="F23" i="18"/>
  <c r="F22" i="18"/>
  <c r="F16" i="18"/>
  <c r="F92" i="18" l="1"/>
  <c r="E7" i="19"/>
  <c r="E25" i="19"/>
  <c r="E24" i="19"/>
  <c r="E23" i="19"/>
  <c r="E79" i="19" s="1"/>
  <c r="F5" i="20"/>
  <c r="F14" i="20" s="1"/>
  <c r="F58" i="20"/>
  <c r="F22" i="20"/>
  <c r="F21" i="20"/>
  <c r="F20" i="20"/>
  <c r="E85" i="21"/>
  <c r="E27" i="21"/>
  <c r="E28" i="21"/>
  <c r="E29" i="21"/>
  <c r="E6" i="21"/>
  <c r="E20" i="21" s="1"/>
  <c r="F34" i="10"/>
  <c r="F7" i="10"/>
  <c r="F69" i="13"/>
  <c r="F24" i="5"/>
  <c r="F23" i="5"/>
  <c r="F22" i="5"/>
  <c r="F71" i="5" s="1"/>
  <c r="F13" i="5"/>
  <c r="G27" i="8"/>
  <c r="E20" i="8"/>
  <c r="E22" i="8"/>
  <c r="E25" i="8" s="1"/>
  <c r="E22" i="3"/>
  <c r="E27" i="3" s="1"/>
  <c r="F73" i="20" l="1"/>
  <c r="E25" i="3"/>
  <c r="E26" i="3"/>
  <c r="E24" i="8"/>
  <c r="E87" i="21"/>
  <c r="E71" i="3"/>
  <c r="E26" i="8"/>
  <c r="E27" i="8"/>
  <c r="E73" i="8" l="1"/>
  <c r="E16" i="3"/>
  <c r="E72" i="7"/>
  <c r="G92" i="18" l="1"/>
  <c r="G16" i="18"/>
  <c r="G52" i="11"/>
  <c r="I29" i="11"/>
  <c r="F79" i="19"/>
  <c r="F17" i="19"/>
  <c r="G73" i="20"/>
  <c r="I6" i="20"/>
  <c r="G14" i="20"/>
  <c r="F87" i="21"/>
  <c r="H20" i="21"/>
  <c r="F20" i="21"/>
  <c r="E14" i="57"/>
  <c r="F14" i="57"/>
  <c r="C8" i="59"/>
  <c r="F10" i="23"/>
  <c r="F48" i="23"/>
  <c r="G48" i="23"/>
  <c r="G10" i="23"/>
  <c r="G8" i="46"/>
  <c r="F36" i="12"/>
  <c r="F9" i="12"/>
  <c r="G36" i="12"/>
  <c r="G9" i="12"/>
  <c r="F11" i="13"/>
  <c r="E25" i="37" s="1"/>
  <c r="F55" i="4"/>
  <c r="E43" i="37" l="1"/>
  <c r="G8" i="70"/>
  <c r="G20" i="70"/>
  <c r="G19" i="69"/>
  <c r="G45" i="68"/>
  <c r="G12" i="68"/>
  <c r="G69" i="13" l="1"/>
  <c r="G11" i="13"/>
  <c r="G55" i="4"/>
  <c r="I5" i="4"/>
  <c r="G9" i="4"/>
  <c r="F9" i="4"/>
  <c r="G7" i="72"/>
  <c r="G12" i="72"/>
  <c r="G13" i="5"/>
  <c r="E9" i="56"/>
  <c r="F9" i="56"/>
  <c r="E8" i="53"/>
  <c r="F8" i="53"/>
  <c r="F18" i="74"/>
  <c r="E11" i="74"/>
  <c r="F11" i="74"/>
  <c r="F72" i="7"/>
  <c r="E13" i="7"/>
  <c r="F13" i="7"/>
  <c r="H70" i="8"/>
  <c r="H22" i="8"/>
  <c r="F73" i="8"/>
  <c r="F15" i="8"/>
  <c r="H11" i="8"/>
  <c r="H15" i="8" s="1"/>
  <c r="F16" i="3"/>
  <c r="F71" i="3"/>
  <c r="H68" i="3"/>
  <c r="H56" i="3"/>
  <c r="E28" i="2"/>
  <c r="F28" i="2"/>
  <c r="F19" i="36"/>
  <c r="G19" i="36"/>
  <c r="I11" i="36"/>
  <c r="F8" i="46"/>
  <c r="H46" i="19" l="1"/>
  <c r="G34" i="10" l="1"/>
  <c r="G7" i="10"/>
  <c r="H17" i="23" l="1"/>
  <c r="H16" i="23"/>
  <c r="I11" i="74"/>
  <c r="H11" i="74"/>
  <c r="G11" i="74"/>
  <c r="N14" i="74"/>
  <c r="N18" i="74" s="1"/>
  <c r="M14" i="74"/>
  <c r="M18" i="74" s="1"/>
  <c r="I18" i="74"/>
  <c r="H18" i="74"/>
  <c r="G18" i="74"/>
  <c r="H26" i="20"/>
  <c r="G30" i="8"/>
  <c r="G30" i="3"/>
  <c r="G7" i="2"/>
  <c r="G6" i="2"/>
  <c r="G35" i="37"/>
  <c r="G5" i="37"/>
  <c r="H20" i="41"/>
  <c r="H11" i="41"/>
  <c r="G15" i="73"/>
  <c r="H10" i="73"/>
  <c r="G10" i="73"/>
  <c r="J11" i="40"/>
  <c r="H11" i="40"/>
  <c r="H18" i="40"/>
  <c r="H29" i="66"/>
  <c r="H13" i="66"/>
  <c r="G7" i="54"/>
  <c r="H45" i="68"/>
  <c r="H12" i="68"/>
  <c r="H19" i="69"/>
  <c r="H20" i="70"/>
  <c r="H8" i="70"/>
  <c r="G24" i="51"/>
  <c r="G12" i="51"/>
  <c r="A39" i="38"/>
  <c r="A40" i="38" s="1"/>
  <c r="H49" i="37"/>
  <c r="G49" i="37"/>
  <c r="H18" i="18"/>
  <c r="H23" i="18" s="1"/>
  <c r="H19" i="11"/>
  <c r="H13" i="11"/>
  <c r="H9" i="11"/>
  <c r="G28" i="19"/>
  <c r="G20" i="19"/>
  <c r="G24" i="19" s="1"/>
  <c r="H25" i="20"/>
  <c r="H17" i="20"/>
  <c r="G85" i="21"/>
  <c r="G23" i="21"/>
  <c r="G29" i="21" s="1"/>
  <c r="G8" i="57"/>
  <c r="H9" i="71"/>
  <c r="H19" i="13"/>
  <c r="H18" i="13"/>
  <c r="I15" i="13"/>
  <c r="I69" i="13" s="1"/>
  <c r="I9" i="4"/>
  <c r="H17" i="5"/>
  <c r="G22" i="3"/>
  <c r="I22" i="3"/>
  <c r="G20" i="3"/>
  <c r="H25" i="37"/>
  <c r="H43" i="37" s="1"/>
  <c r="G71" i="19"/>
  <c r="H26" i="5"/>
  <c r="G29" i="3"/>
  <c r="G9" i="37"/>
  <c r="G25" i="8"/>
  <c r="H16" i="18"/>
  <c r="G7" i="19"/>
  <c r="G17" i="19" s="1"/>
  <c r="H5" i="20"/>
  <c r="H14" i="20" s="1"/>
  <c r="G6" i="21"/>
  <c r="G20" i="21" s="1"/>
  <c r="H7" i="10"/>
  <c r="H34" i="10"/>
  <c r="H10" i="23"/>
  <c r="H18" i="12"/>
  <c r="H17" i="12"/>
  <c r="H9" i="12"/>
  <c r="H11" i="13"/>
  <c r="G25" i="37" s="1"/>
  <c r="H55" i="4"/>
  <c r="H9" i="4"/>
  <c r="H13" i="5"/>
  <c r="G9" i="56"/>
  <c r="G8" i="53"/>
  <c r="G13" i="7"/>
  <c r="G72" i="7"/>
  <c r="H24" i="7"/>
  <c r="H72" i="7" s="1"/>
  <c r="G16" i="3"/>
  <c r="H19" i="36"/>
  <c r="I19" i="36"/>
  <c r="G24" i="8"/>
  <c r="G26" i="8"/>
  <c r="I34" i="10"/>
  <c r="I7" i="10"/>
  <c r="H9" i="37"/>
  <c r="H4" i="37"/>
  <c r="H5" i="37" s="1"/>
  <c r="H12" i="51"/>
  <c r="H24" i="51"/>
  <c r="I13" i="66"/>
  <c r="I29" i="66"/>
  <c r="I18" i="67"/>
  <c r="I9" i="67"/>
  <c r="I20" i="41"/>
  <c r="I11" i="41"/>
  <c r="I14" i="40"/>
  <c r="I16" i="40" s="1"/>
  <c r="I18" i="40" s="1"/>
  <c r="I11" i="40"/>
  <c r="I92" i="18"/>
  <c r="I16" i="18"/>
  <c r="I9" i="11"/>
  <c r="I52" i="11"/>
  <c r="H79" i="19"/>
  <c r="H17" i="19"/>
  <c r="I73" i="20"/>
  <c r="I14" i="20"/>
  <c r="H87" i="21"/>
  <c r="I8" i="57"/>
  <c r="H8" i="57"/>
  <c r="I48" i="23"/>
  <c r="I10" i="23"/>
  <c r="I36" i="12"/>
  <c r="I9" i="12"/>
  <c r="I11" i="13"/>
  <c r="I55" i="4"/>
  <c r="I7" i="72"/>
  <c r="I12" i="72"/>
  <c r="I13" i="5"/>
  <c r="H9" i="56"/>
  <c r="H8" i="53"/>
  <c r="H13" i="7"/>
  <c r="H73" i="8"/>
  <c r="H16" i="3"/>
  <c r="H71" i="3"/>
  <c r="H28" i="2"/>
  <c r="J18" i="67"/>
  <c r="J14" i="10"/>
  <c r="J13" i="10"/>
  <c r="J12" i="10"/>
  <c r="I30" i="3"/>
  <c r="I29" i="3"/>
  <c r="I20" i="3"/>
  <c r="J18" i="40"/>
  <c r="I29" i="19"/>
  <c r="J26" i="20"/>
  <c r="I30" i="8"/>
  <c r="I71" i="19"/>
  <c r="I28" i="19"/>
  <c r="I20" i="19"/>
  <c r="I24" i="19" s="1"/>
  <c r="J25" i="20"/>
  <c r="J17" i="20"/>
  <c r="J20" i="20" s="1"/>
  <c r="I14" i="57"/>
  <c r="J44" i="11"/>
  <c r="I7" i="54"/>
  <c r="I27" i="8"/>
  <c r="I25" i="8"/>
  <c r="I24" i="8"/>
  <c r="I22" i="8"/>
  <c r="I20" i="8"/>
  <c r="J19" i="11"/>
  <c r="J13" i="11"/>
  <c r="J15" i="11" s="1"/>
  <c r="J9" i="11"/>
  <c r="J7" i="10"/>
  <c r="I29" i="8"/>
  <c r="J17" i="5"/>
  <c r="J24" i="5" s="1"/>
  <c r="I16" i="3"/>
  <c r="I28" i="2"/>
  <c r="I49" i="37"/>
  <c r="I9" i="37"/>
  <c r="I5" i="37"/>
  <c r="J36" i="12"/>
  <c r="J9" i="12"/>
  <c r="I25" i="37"/>
  <c r="I43" i="37" s="1"/>
  <c r="J55" i="4"/>
  <c r="J13" i="5"/>
  <c r="J7" i="45"/>
  <c r="I8" i="53"/>
  <c r="I72" i="7"/>
  <c r="I13" i="7"/>
  <c r="I15" i="8"/>
  <c r="J19" i="36"/>
  <c r="J8" i="46"/>
  <c r="J9" i="4"/>
  <c r="A33" i="38"/>
  <c r="J4" i="38" s="1"/>
  <c r="J7" i="38" s="1"/>
  <c r="J10" i="38" s="1"/>
  <c r="I17" i="19"/>
  <c r="J6" i="20"/>
  <c r="J5" i="20"/>
  <c r="J14" i="20" s="1"/>
  <c r="C7" i="62"/>
  <c r="C8" i="60"/>
  <c r="C11" i="60" s="1"/>
  <c r="B9" i="58"/>
  <c r="H69" i="13" l="1"/>
  <c r="G28" i="2"/>
  <c r="H22" i="5"/>
  <c r="H36" i="12"/>
  <c r="H22" i="18"/>
  <c r="J16" i="11"/>
  <c r="H24" i="18"/>
  <c r="J17" i="11"/>
  <c r="J34" i="10"/>
  <c r="G43" i="37"/>
  <c r="I27" i="3"/>
  <c r="I25" i="3"/>
  <c r="I26" i="8"/>
  <c r="I73" i="8" s="1"/>
  <c r="J22" i="20"/>
  <c r="J21" i="20"/>
  <c r="I25" i="19"/>
  <c r="I23" i="19"/>
  <c r="G26" i="3"/>
  <c r="H15" i="11"/>
  <c r="H16" i="11"/>
  <c r="H17" i="11"/>
  <c r="G25" i="19"/>
  <c r="G23" i="19"/>
  <c r="G28" i="21"/>
  <c r="G27" i="21"/>
  <c r="G73" i="8"/>
  <c r="J23" i="5"/>
  <c r="H24" i="5"/>
  <c r="H23" i="5"/>
  <c r="H71" i="5" s="1"/>
  <c r="I26" i="3"/>
  <c r="H48" i="23"/>
  <c r="E10" i="55"/>
  <c r="A28" i="38"/>
  <c r="H20" i="20"/>
  <c r="H21" i="20"/>
  <c r="H22" i="20"/>
  <c r="J22" i="5"/>
  <c r="G25" i="3"/>
  <c r="G27" i="3"/>
  <c r="J52" i="11" l="1"/>
  <c r="G79" i="19"/>
  <c r="J73" i="20"/>
  <c r="I79" i="19"/>
  <c r="H92" i="18"/>
  <c r="G87" i="21"/>
  <c r="H52" i="11"/>
  <c r="I71" i="3"/>
  <c r="H73" i="20"/>
  <c r="J71" i="5"/>
  <c r="G71" i="3"/>
  <c r="E28" i="38" s="1"/>
  <c r="A30" i="38" s="1"/>
  <c r="E17" i="19"/>
  <c r="F9" i="11"/>
  <c r="D15" i="7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D8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Elections Aid from County $2233 - rest is LGA
</t>
        </r>
      </text>
    </comment>
    <comment ref="A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Goes straight to PERA now
</t>
        </r>
      </text>
    </comment>
    <comment ref="D12" authorId="0" shapeId="0" xr:uid="{00000000-0006-0000-0100-000003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DNR Grant 2010
Rest is Relief received to PERA
</t>
        </r>
      </text>
    </comment>
    <comment ref="F21" authorId="0" shapeId="0" xr:uid="{00000000-0006-0000-0100-000004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Hwy 44 Reimbursement
</t>
        </r>
      </text>
    </comment>
    <comment ref="I2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Small Cities Assist - Streets</t>
        </r>
      </text>
    </comment>
    <comment ref="A2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Police
</t>
        </r>
      </text>
    </comment>
    <comment ref="A3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Parks and Recreation</t>
        </r>
      </text>
    </comment>
    <comment ref="A3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Police and Fire
</t>
        </r>
      </text>
    </comment>
    <comment ref="D35" authorId="0" shapeId="0" xr:uid="{00000000-0006-0000-0100-000009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FB Field Rent was moved here from 33201
</t>
        </r>
      </text>
    </comment>
    <comment ref="A4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Police
</t>
        </r>
      </text>
    </comment>
    <comment ref="A4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SSC Claims Margins, Capital Credits, etc
</t>
        </r>
      </text>
    </comment>
    <comment ref="F4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Hwy 44 Reimbursement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D9" authorId="0" shapeId="0" xr:uid="{00000000-0006-0000-0C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1st St SW
</t>
        </r>
      </text>
    </comment>
    <comment ref="H19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Dave - 1040 hrs x 12.99
Gary - ?
</t>
        </r>
      </text>
    </comment>
    <comment ref="I37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$25568 Blazek Cost for Caved in Garage at Mehus property
</t>
        </r>
      </text>
    </comment>
    <comment ref="D41" authorId="0" shapeId="0" xr:uid="{00000000-0006-0000-0C00-000004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Curbs, alleyways, driveways</t>
        </r>
      </text>
    </comment>
    <comment ref="I41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Blacktop Sherburne alley</t>
        </r>
      </text>
    </comment>
    <comment ref="D42" authorId="0" shapeId="0" xr:uid="{00000000-0006-0000-0C00-000006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Solar Speed Limit Sign
</t>
        </r>
      </text>
    </comment>
    <comment ref="D61" authorId="0" shapeId="0" xr:uid="{00000000-0006-0000-0C00-000007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Loader
</t>
        </r>
      </text>
    </comment>
    <comment ref="H61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Street Sander
</t>
        </r>
      </text>
    </comment>
    <comment ref="I61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Reimbursed from Vehicle Repalcement Fund per auditors</t>
        </r>
      </text>
    </comment>
    <comment ref="D63" authorId="0" shapeId="0" xr:uid="{00000000-0006-0000-0C00-00000A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Hoop shed
</t>
        </r>
      </text>
    </comment>
    <comment ref="D64" authorId="0" shapeId="0" xr:uid="{00000000-0006-0000-0C00-00000B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Mill and Overlay - 160,000
Painting curbs etc 6,000</t>
        </r>
      </text>
    </comment>
    <comment ref="F64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Chip Seal and Sidewalk Repair
</t>
        </r>
      </text>
    </comment>
    <comment ref="H64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3rd Ave Sw - $145,000
1st St NW - $175,000
Sidewalks - $5000
Maple Drive - $50,000</t>
        </r>
      </text>
    </comment>
    <comment ref="J64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$100,000 2nd Ave NE Street Construction
$5000 Sidewalk repair - one quadrant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I6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Ped Lane 1990.69
Trollskogen Bricks 11845.31</t>
        </r>
      </text>
    </comment>
    <comment ref="B7" authorId="0" shapeId="0" xr:uid="{00000000-0006-0000-0E00-000002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Football Field 5000
Utilities 2000</t>
        </r>
      </text>
    </comment>
    <comment ref="D22" authorId="0" shapeId="0" xr:uid="{00000000-0006-0000-0E00-000003000000}">
      <text>
        <r>
          <rPr>
            <b/>
            <sz val="11"/>
            <color indexed="81"/>
            <rFont val="Tahoma"/>
            <family val="2"/>
          </rPr>
          <t>Erin Konkel
$2500 Mower Deck</t>
        </r>
      </text>
    </comment>
    <comment ref="F26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3800 Flowers
2000 mulch</t>
        </r>
      </text>
    </comment>
    <comment ref="H26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$3000 Flowers
</t>
        </r>
      </text>
    </comment>
    <comment ref="I26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Brick Pavers - 3607</t>
        </r>
      </text>
    </comment>
    <comment ref="J26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Planters
</t>
        </r>
      </text>
    </comment>
    <comment ref="H28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Push mower
</t>
        </r>
      </text>
    </comment>
    <comment ref="D46" authorId="0" shapeId="0" xr:uid="{00000000-0006-0000-0E00-000009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5 Pinic tables for overnight parking
</t>
        </r>
      </text>
    </comment>
    <comment ref="F46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Picnic Tables and Benches for Parks
</t>
        </r>
      </text>
    </comment>
    <comment ref="H46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Picnic Tables and Benches for Trollskogen
</t>
        </r>
      </text>
    </comment>
    <comment ref="I46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Trollskogen Playground Equip</t>
        </r>
      </text>
    </comment>
    <comment ref="J46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Picnic Tables
Benches for park shelters
</t>
        </r>
      </text>
    </comment>
    <comment ref="D48" authorId="0" shapeId="0" xr:uid="{00000000-0006-0000-0E00-00000E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Net Behind Home Plate
</t>
        </r>
      </text>
    </comment>
    <comment ref="F48" authorId="0" shapeId="0" xr:uid="{00000000-0006-0000-0E00-00000F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Stain for log cabin and gazebo
</t>
        </r>
      </text>
    </comment>
    <comment ref="F49" authorId="0" shapeId="0" xr:uid="{00000000-0006-0000-0E00-000010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Net behind home plate $1500
Storm Sewer $15000
Overnight parking sidewalk $1000
</t>
        </r>
      </text>
    </comment>
    <comment ref="H49" authorId="0" shapeId="0" xr:uid="{00000000-0006-0000-0E00-00001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Fountain at Trollskogen $1500
Baseball Field Fence $5000</t>
        </r>
      </text>
    </comment>
    <comment ref="I49" authorId="0" shapeId="0" xr:uid="{00000000-0006-0000-0E00-00001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Baseball field fence
</t>
        </r>
      </text>
    </comment>
    <comment ref="J49" authorId="0" shapeId="0" xr:uid="{00000000-0006-0000-0E00-00001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Baseball field fence $5000
Water Fountain $1000 for Trollskogen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G30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$4000 Leak Detection</t>
        </r>
      </text>
    </comment>
    <comment ref="G52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leak the month of June</t>
        </r>
      </text>
    </comment>
    <comment ref="G5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leak month of June
</t>
        </r>
      </text>
    </comment>
    <comment ref="I58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Vacuum 5526</t>
        </r>
      </text>
    </comment>
    <comment ref="D59" authorId="0" shapeId="0" xr:uid="{00000000-0006-0000-0F00-000005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Filters</t>
        </r>
      </text>
    </comment>
    <comment ref="H62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Paint both slides
</t>
        </r>
      </text>
    </comment>
    <comment ref="H63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Square Umbrella over slide area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F23" authorId="0" shapeId="0" xr:uid="{00000000-0006-0000-10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Changed by Council in May 2020
</t>
        </r>
      </text>
    </comment>
    <comment ref="E34" authorId="0" shapeId="0" xr:uid="{00000000-0006-0000-1000-000002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Baseball cage - reimbursed through contribution from boosters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H43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Lights at Fest Building - Viking Electric
</t>
        </r>
      </text>
    </comment>
    <comment ref="D45" authorId="0" shapeId="0" xr:uid="{00000000-0006-0000-1200-000002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New Kitchen Floor and repaired cabinets
</t>
        </r>
      </text>
    </comment>
    <comment ref="F45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Partitions in Women's Bathroom at Log Cabin
</t>
        </r>
      </text>
    </comment>
    <comment ref="G45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Chip Sealing at Log Cabin and Outdoor FB Bathroom.  Floor inside Log Cabin 
</t>
        </r>
      </text>
    </comment>
    <comment ref="H45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Chip sealing at Log Cabin Bathrooms and FB Outdoor Bathroom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D11" authorId="0" shapeId="0" xr:uid="{00000000-0006-0000-18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Hotel Feasibility Study - Council voted to pay half 02/2020</t>
        </r>
      </text>
    </comment>
    <comment ref="F12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To Fire Equip Fund per Council Dec 2018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C6" authorId="0" shapeId="0" xr:uid="{00000000-0006-0000-1C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Not increasing with the chance that Northern is not returning</t>
        </r>
      </text>
    </comment>
    <comment ref="B15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</t>
        </r>
      </text>
    </comment>
    <comment ref="B16" authorId="0" shapeId="0" xr:uid="{00000000-0006-0000-1C00-00000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E17" authorId="0" shapeId="0" xr:uid="{00000000-0006-0000-1C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To equal rev/exp but have in reserves so willl not take</t>
        </r>
      </text>
    </comment>
    <comment ref="C23" authorId="0" shapeId="0" xr:uid="{00000000-0006-0000-1C00-000005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Paul's salary plus half of step 1 on Pg 9</t>
        </r>
      </text>
    </comment>
    <comment ref="C32" authorId="0" shapeId="0" xr:uid="{00000000-0006-0000-1C00-000006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Full year Paul
Half year New Hire
</t>
        </r>
      </text>
    </comment>
    <comment ref="C33" authorId="0" shapeId="0" xr:uid="{00000000-0006-0000-1C00-000007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Paul Full Yr
New Hire Half Yr</t>
        </r>
      </text>
    </comment>
    <comment ref="B47" authorId="0" shapeId="0" xr:uid="{00000000-0006-0000-1C00-000008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Clothing Allowance
</t>
        </r>
      </text>
    </comment>
    <comment ref="H66" authorId="0" shapeId="0" xr:uid="{00000000-0006-0000-1C00-000009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Transformer Disposal
</t>
        </r>
      </text>
    </comment>
    <comment ref="C73" authorId="0" shapeId="0" xr:uid="{00000000-0006-0000-1C00-00000A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New handheld for water reading $5000
2 New office computers $3000</t>
        </r>
      </text>
    </comment>
    <comment ref="G73" authorId="0" shapeId="0" xr:uid="{00000000-0006-0000-1C00-00000B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Lyn New Computer $2000
Computer Server $10000
</t>
        </r>
      </text>
    </comment>
    <comment ref="G77" authorId="0" shapeId="0" xr:uid="{00000000-0006-0000-1C00-00000C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Shop Addition - done in 2018
</t>
        </r>
      </text>
    </comment>
    <comment ref="C78" authorId="0" shapeId="0" xr:uid="{00000000-0006-0000-1C00-00000D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Underground Wire 5th Ave NW</t>
        </r>
      </text>
    </comment>
    <comment ref="E78" authorId="0" shapeId="0" xr:uid="{00000000-0006-0000-1C00-00000E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light poles
</t>
        </r>
      </text>
    </comment>
    <comment ref="G78" authorId="0" shapeId="0" xr:uid="{00000000-0006-0000-1C00-00000F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$2500 New Van Garage Door
</t>
        </r>
      </text>
    </comment>
    <comment ref="C80" authorId="0" shapeId="0" xr:uid="{00000000-0006-0000-1C00-000010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Repair Main Street lights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F53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Tower 877000
1st St SW 730000</t>
        </r>
      </text>
    </comment>
    <comment ref="J53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Tower
</t>
        </r>
      </text>
    </comment>
    <comment ref="H66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Watermain by school</t>
        </r>
      </text>
    </comment>
    <comment ref="J66" authorId="0" shapeId="0" xr:uid="{00000000-0006-0000-1D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Service to SG Soda
</t>
        </r>
      </text>
    </comment>
    <comment ref="D68" authorId="0" shapeId="0" xr:uid="{00000000-0006-0000-1D00-000005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Pump for unleaded gas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B62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 Sept 2019</t>
        </r>
      </text>
    </comment>
    <comment ref="E62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
</t>
        </r>
      </text>
    </comment>
    <comment ref="B65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 Sept 2019</t>
        </r>
      </text>
    </comment>
    <comment ref="E65" authorId="0" shapeId="0" xr:uid="{00000000-0006-0000-1E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</t>
        </r>
      </text>
    </comment>
    <comment ref="B67" authorId="0" shapeId="0" xr:uid="{00000000-0006-0000-1E00-000005000000}">
      <text>
        <r>
          <rPr>
            <b/>
            <sz val="9"/>
            <color indexed="81"/>
            <rFont val="Tahoma"/>
            <family val="2"/>
          </rPr>
          <t xml:space="preserve">Erin Konkel:
</t>
        </r>
        <r>
          <rPr>
            <sz val="9"/>
            <color indexed="81"/>
            <rFont val="Tahoma"/>
            <family val="2"/>
          </rPr>
          <t>Commercial Park Infrastructure Project</t>
        </r>
      </text>
    </comment>
    <comment ref="E69" authorId="0" shapeId="0" xr:uid="{00000000-0006-0000-1E00-000006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Sewer Plant Roof
</t>
        </r>
      </text>
    </comment>
    <comment ref="C71" authorId="0" shapeId="0" xr:uid="{00000000-0006-0000-1E00-000007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$5000 Solid Hauling
$10,000 Storm sewer pipe 1st Ave Sw</t>
        </r>
      </text>
    </comment>
    <comment ref="E71" authorId="0" shapeId="0" xr:uid="{00000000-0006-0000-1E00-000008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Solid Hauling $4,000
Storm Sewer Repairs at City Shop - 3rd Ave NW $20,000
Lift Station Pumps $20,000</t>
        </r>
      </text>
    </comment>
    <comment ref="G71" authorId="0" shapeId="0" xr:uid="{00000000-0006-0000-1E00-000009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6000 Solid Hauling
25000 Storm Sewer Repairs
</t>
        </r>
      </text>
    </comment>
    <comment ref="I71" authorId="0" shapeId="0" xr:uid="{00000000-0006-0000-1E00-00000A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Tank Mixer - $15000
Solid Hauling-  $8000
</t>
        </r>
      </text>
    </comment>
    <comment ref="E72" authorId="0" shapeId="0" xr:uid="{00000000-0006-0000-1E00-00000B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TV for Sewer Lines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  <author xml:space="preserve"> </author>
  </authors>
  <commentList>
    <comment ref="J13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Based Jana and Robert on 20 hours per week or 1040 hours per year
</t>
        </r>
      </text>
    </comment>
    <comment ref="A45" authorId="1" shapeId="0" xr:uid="{00000000-0006-0000-1F00-000002000000}">
      <text>
        <r>
          <rPr>
            <sz val="8"/>
            <color indexed="81"/>
            <rFont val="Tahoma"/>
            <family val="2"/>
          </rPr>
          <t xml:space="preserve">Utilities billed by Oliver Project.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E4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Reimburse from county
</t>
        </r>
      </text>
    </comment>
    <comment ref="E5" authorId="0" shapeId="0" xr:uid="{00000000-0006-0000-0200-000002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Houston County Aid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E78" authorId="0" shapeId="0" xr:uid="{00000000-0006-0000-20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To Fire Dept for Side by Side</t>
        </r>
      </text>
    </comment>
    <comment ref="F81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floor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00000000-0006-0000-2200-000001000000}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1" authorId="0" shapeId="0" xr:uid="{00000000-0006-0000-2300-000001000000}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1" authorId="0" shapeId="0" xr:uid="{00000000-0006-0000-2400-000001000000}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Erin Konkel</author>
  </authors>
  <commentList>
    <comment ref="B1" authorId="0" shapeId="0" xr:uid="{00000000-0006-0000-2500-000001000000}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  <comment ref="F12" authorId="1" shapeId="0" xr:uid="{00000000-0006-0000-25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From 314/318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Erin Konkel</author>
  </authors>
  <commentList>
    <comment ref="B1" authorId="0" shapeId="0" xr:uid="{00000000-0006-0000-2600-000001000000}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  <comment ref="G11" authorId="1" shapeId="0" xr:uid="{00000000-0006-0000-2600-000002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Removal of parcels from TIF District
</t>
        </r>
      </text>
    </comment>
    <comment ref="F19" authorId="1" shapeId="0" xr:uid="{00000000-0006-0000-2600-00000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No levy for 2020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1" authorId="0" shapeId="0" xr:uid="{00000000-0006-0000-2700-000001000000}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1" authorId="0" shapeId="0" xr:uid="{00000000-0006-0000-2800-000001000000}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F4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SMIF REV</t>
        </r>
      </text>
    </comment>
    <comment ref="A6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Ardinger, Storlie, Jahnke, and Motocross Lease</t>
        </r>
      </text>
    </comment>
    <comment ref="D6" authorId="0" shapeId="0" xr:uid="{00000000-0006-0000-2900-000003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Chamber Rent 250/month
</t>
        </r>
      </text>
    </comment>
    <comment ref="A24" authorId="0" shapeId="0" xr:uid="{00000000-0006-0000-29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CEDA Quarterly Payments 50,000, Fix Up Fund Projects 10,000, Lawn Services 5,000
</t>
        </r>
      </text>
    </comment>
    <comment ref="D24" authorId="0" shapeId="0" xr:uid="{00000000-0006-0000-2900-000005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CEDA 64980
Lawn care 4536</t>
        </r>
      </text>
    </comment>
    <comment ref="F24" authorId="0" shapeId="0" xr:uid="{00000000-0006-0000-2900-000006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CEDA 63087.50
lawn 4536</t>
        </r>
      </text>
    </comment>
    <comment ref="A38" authorId="0" shapeId="0" xr:uid="{00000000-0006-0000-2900-000007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Yah Sure You Betcha monthly fee</t>
        </r>
      </text>
    </comment>
    <comment ref="D38" authorId="0" shapeId="0" xr:uid="{00000000-0006-0000-2900-000008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$5000 Chamber
$1500 EDA</t>
        </r>
      </text>
    </comment>
    <comment ref="F38" authorId="0" shapeId="0" xr:uid="{00000000-0006-0000-2900-000009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Chamber CONTRACT 10000
website $900
marketing $500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  <author>theresa</author>
  </authors>
  <commentList>
    <comment ref="F14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Fix Up Fund</t>
        </r>
      </text>
    </comment>
    <comment ref="J21" authorId="1" shapeId="0" xr:uid="{00000000-0006-0000-2A00-000002000000}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Rick Sundet</t>
        </r>
      </text>
    </comment>
    <comment ref="J57" authorId="1" shapeId="0" xr:uid="{00000000-0006-0000-2A00-000003000000}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</t>
        </r>
      </text>
    </comment>
    <comment ref="K59" authorId="1" shapeId="0" xr:uid="{00000000-0006-0000-2A00-000004000000}">
      <text>
        <r>
          <rPr>
            <b/>
            <sz val="9"/>
            <color indexed="81"/>
            <rFont val="Tahoma"/>
            <family val="2"/>
          </rPr>
          <t xml:space="preserve">theresa: </t>
        </r>
        <r>
          <rPr>
            <sz val="9"/>
            <color indexed="81"/>
            <rFont val="Tahoma"/>
            <family val="2"/>
          </rPr>
          <t xml:space="preserve">
need costs for new lights and remote switch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theresa</author>
  </authors>
  <commentList>
    <comment ref="B2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Syttende Mai $1,500
Uffda Fest $1,500
Homecoming 500
Music in the Park $900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theresa</author>
  </authors>
  <commentList>
    <comment ref="J41" authorId="0" shapeId="0" xr:uid="{00000000-0006-0000-2B00-000001000000}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</t>
        </r>
      </text>
    </comment>
    <comment ref="K43" authorId="0" shapeId="0" xr:uid="{00000000-0006-0000-2B00-000002000000}">
      <text>
        <r>
          <rPr>
            <b/>
            <sz val="9"/>
            <color indexed="81"/>
            <rFont val="Tahoma"/>
            <family val="2"/>
          </rPr>
          <t xml:space="preserve">theresa: </t>
        </r>
        <r>
          <rPr>
            <sz val="9"/>
            <color indexed="81"/>
            <rFont val="Tahoma"/>
            <family val="2"/>
          </rPr>
          <t xml:space="preserve">
need costs for new lights and remote switch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E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Erin Konkel:
Richards Fee</t>
        </r>
      </text>
    </comment>
    <comment ref="E2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@ 780 hrs
Dorothy @ 520 hrs</t>
        </r>
      </text>
    </comment>
    <comment ref="G2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Erin Konkel:
Stephanie and Dorothy - 780 Hrs</t>
        </r>
      </text>
    </comment>
    <comment ref="E2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100% Employee and 100% Family 2020?
</t>
        </r>
      </text>
    </comment>
    <comment ref="G29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$950 for 2019
</t>
        </r>
      </text>
    </comment>
    <comment ref="I29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Erin Konkel:
$900 per month max
</t>
        </r>
      </text>
    </comment>
    <comment ref="E3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$66.22 for 2020
100% Employee
</t>
        </r>
      </text>
    </comment>
    <comment ref="G30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$75 Union for 2019
$63.67 ACTUAL</t>
        </r>
      </text>
    </comment>
    <comment ref="I30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$61.22 per month </t>
        </r>
      </text>
    </comment>
    <comment ref="G4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City Hall Handicap Accessible
</t>
        </r>
      </text>
    </comment>
    <comment ref="C47" authorId="0" shapeId="0" xr:uid="{00000000-0006-0000-0400-00000B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David Drown 1750
Mosquito 750</t>
        </r>
      </text>
    </comment>
    <comment ref="E47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$750 Mosquito Contract
$5000 Comp Study
$1750 David Drown</t>
        </r>
      </text>
    </comment>
    <comment ref="G47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Zoning Map $2000</t>
        </r>
      </text>
    </comment>
    <comment ref="G63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Ann new computer
</t>
        </r>
      </text>
    </comment>
    <comment ref="I63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Erin New Computer
</t>
        </r>
      </text>
    </comment>
    <comment ref="C65" authorId="0" shapeId="0" xr:uid="{00000000-0006-0000-0400-000010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Building maintenance
</t>
        </r>
      </text>
    </comment>
    <comment ref="E65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 xml:space="preserve">Erin 
Remodel Bathrooms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5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carpet at City Hall
New outside handicap accessible door at City Hall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E4" authorId="0" shapeId="0" xr:uid="{00000000-0006-0000-05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Reimburse from county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E2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 full time officers</t>
        </r>
      </text>
    </comment>
    <comment ref="G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at 1300 hours *13.68
</t>
        </r>
      </text>
    </comment>
    <comment ref="I2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- 1300 hrs @ 13.15
PT Officer - 1404 hrs @ 18.58</t>
        </r>
      </text>
    </comment>
    <comment ref="K2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at 1300 hours *13.68
PT 1400*19.14</t>
        </r>
      </text>
    </comment>
    <comment ref="E29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100% Employee and  Family</t>
        </r>
      </text>
    </comment>
    <comment ref="E30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100% employee ($66.22)</t>
        </r>
      </text>
    </comment>
    <comment ref="C48" authorId="0" shapeId="0" xr:uid="{00000000-0006-0000-0600-000007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LETG 2400
Online licensing 7000
</t>
        </r>
      </text>
    </comment>
    <comment ref="C63" authorId="0" shapeId="0" xr:uid="{00000000-0006-0000-0600-000008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2500 Server
</t>
        </r>
      </text>
    </comment>
    <comment ref="G65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Garage Door $2500
</t>
        </r>
      </text>
    </comment>
    <comment ref="K6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Garage Door $2500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  <author>theresa</author>
  </authors>
  <commentList>
    <comment ref="D6" authorId="0" shapeId="0" xr:uid="{00000000-0006-0000-07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DNR Grant
</t>
        </r>
      </text>
    </comment>
    <comment ref="B7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Training Reimbursement
</t>
        </r>
      </text>
    </comment>
    <comment ref="B45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moved to Admin
</t>
        </r>
      </text>
    </comment>
    <comment ref="B46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Moved to Admin</t>
        </r>
      </text>
    </comment>
    <comment ref="H56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Transfer to Fire Equipment 405 to use in 2019</t>
        </r>
      </text>
    </comment>
    <comment ref="I56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$20,000 towards turn out gear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D9" authorId="0" shapeId="0" xr:uid="{00000000-0006-0000-0800-000001000000}">
      <text>
        <r>
          <rPr>
            <b/>
            <sz val="11"/>
            <color indexed="81"/>
            <rFont val="Tahoma"/>
            <family val="2"/>
          </rPr>
          <t>Erin Konkel:</t>
        </r>
        <r>
          <rPr>
            <sz val="11"/>
            <color indexed="81"/>
            <rFont val="Tahoma"/>
            <family val="2"/>
          </rPr>
          <t xml:space="preserve">
26800 additional from Corner Store for Side by Side purchase to be transferred in once project is complete
</t>
        </r>
      </text>
    </comment>
    <comment ref="F9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$28,000 from Contingency to 405 per council's request
</t>
        </r>
      </text>
    </comment>
    <comment ref="G9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$5000 Gen Equip
$25000 Truck
$20000 Turn Out Gear</t>
        </r>
      </text>
    </comment>
    <comment ref="I9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$5000 General Equip
$25000 Restricted for Truck Purchase
</t>
        </r>
      </text>
    </comment>
    <comment ref="H15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Jaws
Pagers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Konkel</author>
  </authors>
  <commentList>
    <comment ref="H5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To fix sirens
</t>
        </r>
      </text>
    </comment>
  </commentList>
</comments>
</file>

<file path=xl/sharedStrings.xml><?xml version="1.0" encoding="utf-8"?>
<sst xmlns="http://schemas.openxmlformats.org/spreadsheetml/2006/main" count="2491" uniqueCount="1401">
  <si>
    <t>12100 Police</t>
  </si>
  <si>
    <t>Fund 615 Electric</t>
  </si>
  <si>
    <t>Fund 620 Water</t>
  </si>
  <si>
    <t>Fund 650 Liquor Store</t>
  </si>
  <si>
    <t>Fund 625 SEWER</t>
  </si>
  <si>
    <t>Communication (320)</t>
  </si>
  <si>
    <t>Professional Services (300)</t>
  </si>
  <si>
    <t>101-11300-301</t>
  </si>
  <si>
    <t>Auditing and Accounting Services</t>
  </si>
  <si>
    <t>101-11300-303</t>
  </si>
  <si>
    <t>Engineering Fees</t>
  </si>
  <si>
    <t>101-11300-304</t>
  </si>
  <si>
    <t>Legal Fees</t>
  </si>
  <si>
    <t>101-11300-309</t>
  </si>
  <si>
    <t>EDP, Software and Design</t>
  </si>
  <si>
    <t>Medical</t>
  </si>
  <si>
    <t>101-11300-311</t>
  </si>
  <si>
    <t>Merchandise for Resale (250)</t>
  </si>
  <si>
    <t>Liquor</t>
  </si>
  <si>
    <t>Beer</t>
  </si>
  <si>
    <t>Wine</t>
  </si>
  <si>
    <t>Soft Drinks and Mix</t>
  </si>
  <si>
    <t>Drink Ingredients (juices, olives)</t>
  </si>
  <si>
    <t>Repair and Maintenance (220-240)</t>
  </si>
  <si>
    <t>Utility Sales/Service - Penalties</t>
  </si>
  <si>
    <t>Miscellaneous Revenue - Interest</t>
  </si>
  <si>
    <t>Miscellaneous Revenue - Contributions</t>
  </si>
  <si>
    <t>Miscellaneous Revenue - Franchise Fees</t>
  </si>
  <si>
    <t>Miscellaneous Revenue - NSF Checks</t>
  </si>
  <si>
    <t>Liquor Store Glassware/Supplies</t>
  </si>
  <si>
    <t>Chemicals &amp; Chemical Products</t>
  </si>
  <si>
    <t>Other (including Labor)</t>
  </si>
  <si>
    <t>Office Supplies (200)</t>
  </si>
  <si>
    <t>Accessories (Staplers, etc)</t>
  </si>
  <si>
    <t>Copying Supplies</t>
  </si>
  <si>
    <t>Printed Forms and Paper</t>
  </si>
  <si>
    <t>Envelopes and Letterheads</t>
  </si>
  <si>
    <t>270-00000-36200</t>
  </si>
  <si>
    <t>Misc Revenue - Rents</t>
  </si>
  <si>
    <t>Revenue</t>
  </si>
  <si>
    <t>101-11300-205</t>
  </si>
  <si>
    <t>Other Supplies (Miscellaneous)</t>
  </si>
  <si>
    <t>Worker's Compensation (150-160)</t>
  </si>
  <si>
    <t>Transfer In</t>
  </si>
  <si>
    <t>270-00000-103</t>
  </si>
  <si>
    <t>Temporary Employees (Regular)</t>
  </si>
  <si>
    <t>Part-time Employees (Regular)</t>
  </si>
  <si>
    <t>Freight and Express</t>
  </si>
  <si>
    <t>Police</t>
  </si>
  <si>
    <t>Fire</t>
  </si>
  <si>
    <t>Streets</t>
  </si>
  <si>
    <t>Parks</t>
  </si>
  <si>
    <t>101-12100-101</t>
  </si>
  <si>
    <t>101-12100-102</t>
  </si>
  <si>
    <t>101-11100-123</t>
  </si>
  <si>
    <t>101-11100-949</t>
  </si>
  <si>
    <t>General Misc</t>
  </si>
  <si>
    <t>TOTAL</t>
  </si>
  <si>
    <t>101-11200-151</t>
  </si>
  <si>
    <t>Animal Control</t>
  </si>
  <si>
    <t>Tax Levy</t>
  </si>
  <si>
    <t>TOTAL REVENUES</t>
  </si>
  <si>
    <t>Council</t>
  </si>
  <si>
    <t>TOTAL EXPENDITURES</t>
  </si>
  <si>
    <t>270-00000-217</t>
  </si>
  <si>
    <t>270-00000-221</t>
  </si>
  <si>
    <t>270-00000-311</t>
  </si>
  <si>
    <t>270-00000-361</t>
  </si>
  <si>
    <t>270-00000-362</t>
  </si>
  <si>
    <t>270-00000-381</t>
  </si>
  <si>
    <t>270-00000-382</t>
  </si>
  <si>
    <t>270-00000-383</t>
  </si>
  <si>
    <t>270-00000-384</t>
  </si>
  <si>
    <t>270-00000-385</t>
  </si>
  <si>
    <t>270-00000-901</t>
  </si>
  <si>
    <t>270-00000-903</t>
  </si>
  <si>
    <t>Revenues</t>
  </si>
  <si>
    <t>Expenditures</t>
  </si>
  <si>
    <t>101-11200-103</t>
  </si>
  <si>
    <t>101-11200-122</t>
  </si>
  <si>
    <t>FICA</t>
  </si>
  <si>
    <t>101-11200-123</t>
  </si>
  <si>
    <t>Medicare</t>
  </si>
  <si>
    <t>101-11200-361</t>
  </si>
  <si>
    <t>General Liability</t>
  </si>
  <si>
    <t>101-11200-943</t>
  </si>
  <si>
    <t>101-11200-949</t>
  </si>
  <si>
    <t>Telephone</t>
  </si>
  <si>
    <t>Postage</t>
  </si>
  <si>
    <t>Conference/Training</t>
  </si>
  <si>
    <t>Books/Pamphlets</t>
  </si>
  <si>
    <t>Fees/Dues/Subscr.</t>
  </si>
  <si>
    <t>Other</t>
  </si>
  <si>
    <t>Administration</t>
  </si>
  <si>
    <t>101-11300-101</t>
  </si>
  <si>
    <t>101-11300-102</t>
  </si>
  <si>
    <t>Full Time Employees (Regular)</t>
  </si>
  <si>
    <t>Full Time Employees (Overtime)</t>
  </si>
  <si>
    <t>Part-time Employees</t>
  </si>
  <si>
    <t>101-11300-122</t>
  </si>
  <si>
    <t>101-11300-123</t>
  </si>
  <si>
    <t>101-11300-321</t>
  </si>
  <si>
    <t>101-11300-361</t>
  </si>
  <si>
    <t>101-11300-943</t>
  </si>
  <si>
    <t>101-11300-946</t>
  </si>
  <si>
    <t>Miscellaneous (940-999)</t>
  </si>
  <si>
    <t>Miscellaneous/Other</t>
  </si>
  <si>
    <t>Programming (Library, Dare, etc)</t>
  </si>
  <si>
    <t>Power Purchase</t>
  </si>
  <si>
    <t>Depreciation (920)</t>
  </si>
  <si>
    <t>Rentals and Leases (910)</t>
  </si>
  <si>
    <t>Office Equipment</t>
  </si>
  <si>
    <t>Other Equipment</t>
  </si>
  <si>
    <t>Building Space</t>
  </si>
  <si>
    <t>Repairs and Maintenance - Contractual (900)</t>
  </si>
  <si>
    <t>Buildings</t>
  </si>
  <si>
    <t>Structures</t>
  </si>
  <si>
    <t>Other than Buildings</t>
  </si>
  <si>
    <t>Machinery and Equipment</t>
  </si>
  <si>
    <t>Utility Services (380)</t>
  </si>
  <si>
    <t>Electric</t>
  </si>
  <si>
    <t>Water</t>
  </si>
  <si>
    <t>Gas</t>
  </si>
  <si>
    <t>Refuse</t>
  </si>
  <si>
    <t>Sewer</t>
  </si>
  <si>
    <t>101-11300-381</t>
  </si>
  <si>
    <t>Insurance (360)</t>
  </si>
  <si>
    <t>101-11300-362</t>
  </si>
  <si>
    <t>Property</t>
  </si>
  <si>
    <t>Automotive</t>
  </si>
  <si>
    <t>Dram Shop</t>
  </si>
  <si>
    <t>101-11300-351</t>
  </si>
  <si>
    <t>Printing (350)</t>
  </si>
  <si>
    <t>Legal Notices</t>
  </si>
  <si>
    <t>Advertising (340)</t>
  </si>
  <si>
    <t>Other - Administrative</t>
  </si>
  <si>
    <t>Transportation (330)</t>
  </si>
  <si>
    <t>Travel Expense</t>
  </si>
  <si>
    <t xml:space="preserve">Non-Revenue Refunds &amp; Reimbursements </t>
  </si>
  <si>
    <t>Equipment Parts</t>
  </si>
  <si>
    <t>Tires</t>
  </si>
  <si>
    <t>Building Repair Supplies</t>
  </si>
  <si>
    <t>Street Maintenance Materials</t>
  </si>
  <si>
    <t>Landscaping Materials</t>
  </si>
  <si>
    <t>Sign and Sign Repair Materials</t>
  </si>
  <si>
    <t>Utility System</t>
  </si>
  <si>
    <t>Small Tools and Minor Equipment</t>
  </si>
  <si>
    <t>Operating Supplies (210)</t>
  </si>
  <si>
    <t>101-11300-211</t>
  </si>
  <si>
    <t>Cleaning Supplies</t>
  </si>
  <si>
    <t>Motor Fuels and Vehicle Repair</t>
  </si>
  <si>
    <t>615-00000-35500</t>
  </si>
  <si>
    <t>Misc Revenue</t>
  </si>
  <si>
    <t>625-00000-35200</t>
  </si>
  <si>
    <t>620-00000-35100</t>
  </si>
  <si>
    <t>620-00000-35500</t>
  </si>
  <si>
    <t>620-00000-36500</t>
  </si>
  <si>
    <t>Misc Revenue - Other</t>
  </si>
  <si>
    <t>650-00000-38800</t>
  </si>
  <si>
    <t>Tax Exempt - Misc</t>
  </si>
  <si>
    <t>650-00000-39100</t>
  </si>
  <si>
    <t>Sales - Liquor On</t>
  </si>
  <si>
    <t>650-00000-39200</t>
  </si>
  <si>
    <t>Sales - Liquor Off</t>
  </si>
  <si>
    <t>650-00000-39300</t>
  </si>
  <si>
    <t>Sales - Beer On</t>
  </si>
  <si>
    <t>650-00000-39400</t>
  </si>
  <si>
    <t>Sales - Beer Off</t>
  </si>
  <si>
    <t>650-00000-39500</t>
  </si>
  <si>
    <t>Sales - Chips - Nuts - Pop</t>
  </si>
  <si>
    <t>650-00000-39600</t>
  </si>
  <si>
    <t>Sales - Wine Off</t>
  </si>
  <si>
    <t>Lubricants and Additives</t>
  </si>
  <si>
    <t>270-00000-122</t>
  </si>
  <si>
    <t>270-00000-123</t>
  </si>
  <si>
    <t>270-00000-211</t>
  </si>
  <si>
    <t>101-11100-105</t>
  </si>
  <si>
    <t>Temporary (Regular)</t>
  </si>
  <si>
    <t>101-11100-122</t>
  </si>
  <si>
    <t>101-11300-151</t>
  </si>
  <si>
    <t>Insurance Premiums</t>
  </si>
  <si>
    <t>Employer Paid Insurance (130)</t>
  </si>
  <si>
    <t>101-11300-131</t>
  </si>
  <si>
    <t>Health</t>
  </si>
  <si>
    <t>101-11300-132</t>
  </si>
  <si>
    <t>Dental</t>
  </si>
  <si>
    <t>Contributions for Retirement (120)</t>
  </si>
  <si>
    <t>101-11300-121</t>
  </si>
  <si>
    <t>PERA</t>
  </si>
  <si>
    <t>Police Pension</t>
  </si>
  <si>
    <t>Wages and Salaries (100)</t>
  </si>
  <si>
    <t>101-11300-103</t>
  </si>
  <si>
    <t>Bond Principal</t>
  </si>
  <si>
    <t>Bond Interest</t>
  </si>
  <si>
    <t>Fiscal Charges</t>
  </si>
  <si>
    <t>Misc Other</t>
  </si>
  <si>
    <t>Ad Valorem Taxes</t>
  </si>
  <si>
    <t>Tax Increments</t>
  </si>
  <si>
    <t>Developer Payments</t>
  </si>
  <si>
    <t>Public Donations</t>
  </si>
  <si>
    <t>BUDGET SUMMARY</t>
  </si>
  <si>
    <t>General Fund</t>
  </si>
  <si>
    <t>Tax Abatement</t>
  </si>
  <si>
    <t>101-12100-103</t>
  </si>
  <si>
    <t>101-12100-121</t>
  </si>
  <si>
    <t>101-12100-122</t>
  </si>
  <si>
    <t>101-12100-123</t>
  </si>
  <si>
    <t>101-12100-124</t>
  </si>
  <si>
    <t>101-12100-131</t>
  </si>
  <si>
    <t>101-12100-132</t>
  </si>
  <si>
    <t>101-12100-151</t>
  </si>
  <si>
    <t>101-12100-201</t>
  </si>
  <si>
    <t>101-12100-205</t>
  </si>
  <si>
    <t>101-12100-212</t>
  </si>
  <si>
    <t>101-12100-213</t>
  </si>
  <si>
    <t>101-12100-217</t>
  </si>
  <si>
    <t>101-12100-221</t>
  </si>
  <si>
    <t>101-12100-222</t>
  </si>
  <si>
    <t>101-12100-240</t>
  </si>
  <si>
    <t>101-12100-304</t>
  </si>
  <si>
    <t>101-12100-321</t>
  </si>
  <si>
    <t>101-12100-322</t>
  </si>
  <si>
    <t>101-12100-344</t>
  </si>
  <si>
    <t>101-12100-363</t>
  </si>
  <si>
    <t>101-12100-381</t>
  </si>
  <si>
    <t>101-12100-943</t>
  </si>
  <si>
    <t>101-12100-946</t>
  </si>
  <si>
    <t>101-12100-949</t>
  </si>
  <si>
    <t>101-12100-960</t>
  </si>
  <si>
    <t>101-12200-103</t>
  </si>
  <si>
    <t>101-12200-122</t>
  </si>
  <si>
    <t>101-12200-123</t>
  </si>
  <si>
    <t>101-12200-125</t>
  </si>
  <si>
    <t>101-12200-151</t>
  </si>
  <si>
    <t>101-12200-205</t>
  </si>
  <si>
    <t>101-12200-212</t>
  </si>
  <si>
    <t>101-12200-221</t>
  </si>
  <si>
    <t>101-12200-223</t>
  </si>
  <si>
    <t>101-12200-240</t>
  </si>
  <si>
    <t>101-12200-310</t>
  </si>
  <si>
    <t>101-12200-311</t>
  </si>
  <si>
    <t>101-12200-321</t>
  </si>
  <si>
    <t>101-12200-322</t>
  </si>
  <si>
    <t>101-12200-344</t>
  </si>
  <si>
    <t>101-12200-361</t>
  </si>
  <si>
    <t>101-12200-362</t>
  </si>
  <si>
    <t>101-12200-363</t>
  </si>
  <si>
    <t>101-12200-381</t>
  </si>
  <si>
    <t>101-12200-382</t>
  </si>
  <si>
    <t>101-12200-383</t>
  </si>
  <si>
    <t>101-12200-385</t>
  </si>
  <si>
    <t>101-12200-901</t>
  </si>
  <si>
    <t>101-12200-904</t>
  </si>
  <si>
    <t>101-12200-921</t>
  </si>
  <si>
    <t>101-12200-943</t>
  </si>
  <si>
    <t>101-12200-944</t>
  </si>
  <si>
    <t>101-12200-946</t>
  </si>
  <si>
    <t>101-12200-949</t>
  </si>
  <si>
    <t>101-13100-101</t>
  </si>
  <si>
    <t>101-13100-102</t>
  </si>
  <si>
    <t>101-13100-121</t>
  </si>
  <si>
    <t>101-13100-122</t>
  </si>
  <si>
    <t>101-13100-123</t>
  </si>
  <si>
    <t>101-13100-131</t>
  </si>
  <si>
    <t>101-13100-132</t>
  </si>
  <si>
    <t>101-13100-151</t>
  </si>
  <si>
    <t>101-13100-205</t>
  </si>
  <si>
    <t>101-13100-212</t>
  </si>
  <si>
    <t>101-13100-213</t>
  </si>
  <si>
    <t>101-13100-216</t>
  </si>
  <si>
    <t>101-13100-217</t>
  </si>
  <si>
    <t>101-13100-221</t>
  </si>
  <si>
    <t>101-13100-222</t>
  </si>
  <si>
    <t>101-13100-224</t>
  </si>
  <si>
    <t>101-13100-226</t>
  </si>
  <si>
    <t>101-13100-240</t>
  </si>
  <si>
    <t>101-13100-311</t>
  </si>
  <si>
    <t>101-13100-321</t>
  </si>
  <si>
    <t>101-13100-351</t>
  </si>
  <si>
    <t>101-13100-361</t>
  </si>
  <si>
    <t>101-13100-363</t>
  </si>
  <si>
    <t>101-13100-381</t>
  </si>
  <si>
    <t>101-13100-382</t>
  </si>
  <si>
    <t>101-13100-383</t>
  </si>
  <si>
    <t>101-13100-384</t>
  </si>
  <si>
    <t>101-13100-385</t>
  </si>
  <si>
    <t>101-13100-903</t>
  </si>
  <si>
    <t>101-13100-904</t>
  </si>
  <si>
    <t>101-13100-943</t>
  </si>
  <si>
    <t>101-14100-151</t>
  </si>
  <si>
    <t>101-14100-212</t>
  </si>
  <si>
    <t>101-14100-213</t>
  </si>
  <si>
    <t>101-14100-216</t>
  </si>
  <si>
    <t>101-14100-217</t>
  </si>
  <si>
    <t>101-14100-221</t>
  </si>
  <si>
    <t>101-14100-224</t>
  </si>
  <si>
    <t>101-14100-225</t>
  </si>
  <si>
    <t>101-14100-226</t>
  </si>
  <si>
    <t>101-14100-240</t>
  </si>
  <si>
    <t>101-14100-311</t>
  </si>
  <si>
    <t>101-14100-361</t>
  </si>
  <si>
    <t>101-14100-362</t>
  </si>
  <si>
    <t>101-14100-363</t>
  </si>
  <si>
    <t>101-14100-381</t>
  </si>
  <si>
    <t>101-14100-383</t>
  </si>
  <si>
    <t>101-14100-384</t>
  </si>
  <si>
    <t>101-14100-903</t>
  </si>
  <si>
    <t>101-14100-943</t>
  </si>
  <si>
    <t>101-14100-945</t>
  </si>
  <si>
    <t>101-14100-949</t>
  </si>
  <si>
    <t>101-14200-105</t>
  </si>
  <si>
    <t>101-14200-122</t>
  </si>
  <si>
    <t>101-14200-123</t>
  </si>
  <si>
    <t>101-14200-151</t>
  </si>
  <si>
    <t>101-14200-201</t>
  </si>
  <si>
    <t>101-14200-202</t>
  </si>
  <si>
    <t>101-14200-203</t>
  </si>
  <si>
    <t>101-14200-205</t>
  </si>
  <si>
    <t>101-14200-211</t>
  </si>
  <si>
    <t>101-14200-216</t>
  </si>
  <si>
    <t>101-14200-217</t>
  </si>
  <si>
    <t>101-14200-221</t>
  </si>
  <si>
    <t>101-14200-223</t>
  </si>
  <si>
    <t>101-14200-226</t>
  </si>
  <si>
    <t>101-14200-240</t>
  </si>
  <si>
    <t>101-14200-309</t>
  </si>
  <si>
    <t>101-14200-321</t>
  </si>
  <si>
    <t>101-14200-344</t>
  </si>
  <si>
    <t>101-14200-362</t>
  </si>
  <si>
    <t>101-14200-381</t>
  </si>
  <si>
    <t>101-14200-382</t>
  </si>
  <si>
    <t>101-14200-383</t>
  </si>
  <si>
    <t>101-14200-384</t>
  </si>
  <si>
    <t>101-14200-385</t>
  </si>
  <si>
    <t>101-14200-902</t>
  </si>
  <si>
    <t>101-14200-903</t>
  </si>
  <si>
    <t>101-14200-943</t>
  </si>
  <si>
    <t>101-14200-946</t>
  </si>
  <si>
    <t>101-14200-949</t>
  </si>
  <si>
    <t>101-14300-105</t>
  </si>
  <si>
    <t>101-14300-122</t>
  </si>
  <si>
    <t>101-14300-123</t>
  </si>
  <si>
    <t>101-14300-202</t>
  </si>
  <si>
    <t>101-14300-217</t>
  </si>
  <si>
    <t>101-14300-344</t>
  </si>
  <si>
    <t>101-14300-918</t>
  </si>
  <si>
    <t>615-00000-101</t>
  </si>
  <si>
    <t>615-00000-102</t>
  </si>
  <si>
    <t>615-00000-121</t>
  </si>
  <si>
    <t>615-00000-122</t>
  </si>
  <si>
    <t>615-00000-123</t>
  </si>
  <si>
    <t>615-00000-131</t>
  </si>
  <si>
    <t>615-00000-132</t>
  </si>
  <si>
    <t>615-00000-151</t>
  </si>
  <si>
    <t>615-00000-203</t>
  </si>
  <si>
    <t>615-00000-204</t>
  </si>
  <si>
    <t>615-00000-205</t>
  </si>
  <si>
    <t>615-00000-212</t>
  </si>
  <si>
    <t>615-00000-217</t>
  </si>
  <si>
    <t>615-00000-221</t>
  </si>
  <si>
    <t>615-00000-227</t>
  </si>
  <si>
    <t>615-00000-240</t>
  </si>
  <si>
    <t>615-00000-301</t>
  </si>
  <si>
    <t>615-00000-303</t>
  </si>
  <si>
    <t>615-00000-309</t>
  </si>
  <si>
    <t>615-00000-321</t>
  </si>
  <si>
    <t>615-00000-322</t>
  </si>
  <si>
    <t>615-00000-361</t>
  </si>
  <si>
    <t>615-00000-362</t>
  </si>
  <si>
    <t>615-00000-363</t>
  </si>
  <si>
    <t>615-00000-903</t>
  </si>
  <si>
    <t>615-00000-943</t>
  </si>
  <si>
    <t>615-00000-946</t>
  </si>
  <si>
    <t>615-00000-949</t>
  </si>
  <si>
    <t>615-00000-980</t>
  </si>
  <si>
    <t>620-00000-101</t>
  </si>
  <si>
    <t>620-00000-102</t>
  </si>
  <si>
    <t>620-00000-121</t>
  </si>
  <si>
    <t>620-00000-122</t>
  </si>
  <si>
    <t>620-00000-123</t>
  </si>
  <si>
    <t>620-00000-131</t>
  </si>
  <si>
    <t>620-00000-132</t>
  </si>
  <si>
    <t>620-00000-151</t>
  </si>
  <si>
    <t>620-00000-216</t>
  </si>
  <si>
    <t>620-00000-217</t>
  </si>
  <si>
    <t>620-00000-221</t>
  </si>
  <si>
    <t>620-00000-303</t>
  </si>
  <si>
    <t>620-00000-321</t>
  </si>
  <si>
    <t>620-00000-351</t>
  </si>
  <si>
    <t>620-00000-381</t>
  </si>
  <si>
    <t>620-00000-903</t>
  </si>
  <si>
    <t>620-00000-943</t>
  </si>
  <si>
    <t>620-00000-946</t>
  </si>
  <si>
    <t>625-00000-101</t>
  </si>
  <si>
    <t>625-00000-102</t>
  </si>
  <si>
    <t>625-00000-121</t>
  </si>
  <si>
    <t>625-00000-122</t>
  </si>
  <si>
    <t>625-00000-123</t>
  </si>
  <si>
    <t>625-00000-131</t>
  </si>
  <si>
    <t>625-00000-132</t>
  </si>
  <si>
    <t>625-00000-151</t>
  </si>
  <si>
    <t>625-00000-212</t>
  </si>
  <si>
    <t>625-00000-213</t>
  </si>
  <si>
    <t>625-00000-216</t>
  </si>
  <si>
    <t>625-00000-217</t>
  </si>
  <si>
    <t>625-00000-221</t>
  </si>
  <si>
    <t>625-00000-240</t>
  </si>
  <si>
    <t>625-00000-301</t>
  </si>
  <si>
    <t>625-00000-303</t>
  </si>
  <si>
    <t>625-00000-311</t>
  </si>
  <si>
    <t>625-00000-321</t>
  </si>
  <si>
    <t>625-00000-362</t>
  </si>
  <si>
    <t>625-00000-363</t>
  </si>
  <si>
    <t>625-00000-381</t>
  </si>
  <si>
    <t>625-00000-382</t>
  </si>
  <si>
    <t>625-00000-383</t>
  </si>
  <si>
    <t>625-00000-901</t>
  </si>
  <si>
    <t>625-00000-902</t>
  </si>
  <si>
    <t>625-00000-903</t>
  </si>
  <si>
    <t>625-00000-904</t>
  </si>
  <si>
    <t>625-00000-943</t>
  </si>
  <si>
    <t>625-00000-946</t>
  </si>
  <si>
    <t>650-00000-101</t>
  </si>
  <si>
    <t>650-00000-103</t>
  </si>
  <si>
    <t>650-00000-121</t>
  </si>
  <si>
    <t>650-00000-122</t>
  </si>
  <si>
    <t>650-00000-123</t>
  </si>
  <si>
    <t>650-00000-131</t>
  </si>
  <si>
    <t>650-00000-151</t>
  </si>
  <si>
    <t>650-00000-201</t>
  </si>
  <si>
    <t>650-00000-202</t>
  </si>
  <si>
    <t>650-00000-205</t>
  </si>
  <si>
    <t>650-00000-211</t>
  </si>
  <si>
    <t xml:space="preserve">650-00000-214 </t>
  </si>
  <si>
    <t>650-00000-216</t>
  </si>
  <si>
    <t>650-00000-217</t>
  </si>
  <si>
    <t>650-00000-221</t>
  </si>
  <si>
    <t>650-00000-223</t>
  </si>
  <si>
    <t>650-00000-226</t>
  </si>
  <si>
    <t>650-00000-240</t>
  </si>
  <si>
    <t>650-00000-251</t>
  </si>
  <si>
    <t>650-00000-252</t>
  </si>
  <si>
    <t>650-00000-253</t>
  </si>
  <si>
    <t>650-00000-254</t>
  </si>
  <si>
    <t>650-00000-255</t>
  </si>
  <si>
    <t>650-00000-301</t>
  </si>
  <si>
    <t>650-00000-321</t>
  </si>
  <si>
    <t>650-00000-333</t>
  </si>
  <si>
    <t>650-00000-344</t>
  </si>
  <si>
    <t>650-00000-361</t>
  </si>
  <si>
    <t>650-00000-362</t>
  </si>
  <si>
    <t>650-00000-364</t>
  </si>
  <si>
    <t>650-00000-381</t>
  </si>
  <si>
    <t>650-00000-382</t>
  </si>
  <si>
    <t>650-00000-383</t>
  </si>
  <si>
    <t>650-00000-384</t>
  </si>
  <si>
    <t>650-00000-385</t>
  </si>
  <si>
    <t>650-00000-901</t>
  </si>
  <si>
    <t>650-00000-943</t>
  </si>
  <si>
    <t>650-00000-946</t>
  </si>
  <si>
    <t>650-00000-949</t>
  </si>
  <si>
    <t>Fest Building</t>
  </si>
  <si>
    <t>Property Tax - General Revenue</t>
  </si>
  <si>
    <t>Local Government Aid - General</t>
  </si>
  <si>
    <t>License &amp; Permits - Liquor</t>
  </si>
  <si>
    <t>License &amp; Permits - Building/Zoning</t>
  </si>
  <si>
    <t>License &amp; Permits - Other</t>
  </si>
  <si>
    <t>License &amp; Permits - Animal</t>
  </si>
  <si>
    <t>Houston County Funding</t>
  </si>
  <si>
    <t>Inter-Governmental - State Grant</t>
  </si>
  <si>
    <t>Inter-Governmental - State Police Aid</t>
  </si>
  <si>
    <t>Charges for Service - Other</t>
  </si>
  <si>
    <t>Fines &amp; Forfeits - Court Fines</t>
  </si>
  <si>
    <t>Utility Sales/Service</t>
  </si>
  <si>
    <t>Charges for Service - Aquatic Center</t>
  </si>
  <si>
    <t>11300 Administration</t>
  </si>
  <si>
    <t>11200 Council</t>
  </si>
  <si>
    <t>11100 Elections</t>
  </si>
  <si>
    <t>General Fund Revenues</t>
  </si>
  <si>
    <t>Contributions to Retirement (120)</t>
  </si>
  <si>
    <t>Insurance Premium</t>
  </si>
  <si>
    <t>12200 Fire</t>
  </si>
  <si>
    <t>14100 Parks</t>
  </si>
  <si>
    <t>Transfer Out (720)</t>
  </si>
  <si>
    <t>To General Fund</t>
  </si>
  <si>
    <t>Debt Service Fund</t>
  </si>
  <si>
    <t>CITY OF SPRING GROVE</t>
  </si>
  <si>
    <t>101-14100-901</t>
  </si>
  <si>
    <t>101-13100-105</t>
  </si>
  <si>
    <t>101-11300-344</t>
  </si>
  <si>
    <t>Capital Outlay (500)</t>
  </si>
  <si>
    <t>101-12200-580</t>
  </si>
  <si>
    <t>Capital Expense (500)</t>
  </si>
  <si>
    <t>Communications</t>
  </si>
  <si>
    <t>650-00000-520</t>
  </si>
  <si>
    <t>Buildings and Structures</t>
  </si>
  <si>
    <t>650-00000-530</t>
  </si>
  <si>
    <t>Improvements - Other</t>
  </si>
  <si>
    <t>101-12100-361</t>
  </si>
  <si>
    <t>101-12100-362</t>
  </si>
  <si>
    <t>Building</t>
  </si>
  <si>
    <t>Budget</t>
  </si>
  <si>
    <t>101-14200-225</t>
  </si>
  <si>
    <t>101-14200-311</t>
  </si>
  <si>
    <t>101-14200-254</t>
  </si>
  <si>
    <t>101-14200-257</t>
  </si>
  <si>
    <t>620-00000-363</t>
  </si>
  <si>
    <t>Vehicle</t>
  </si>
  <si>
    <t>101-11200-946</t>
  </si>
  <si>
    <t>101-11300-217</t>
  </si>
  <si>
    <t>101-11300-221</t>
  </si>
  <si>
    <t>101-11300-384</t>
  </si>
  <si>
    <t>101-11300-570</t>
  </si>
  <si>
    <t>Office Equipment and Furnishings</t>
  </si>
  <si>
    <t>101-11300-901</t>
  </si>
  <si>
    <t>101-12100-570</t>
  </si>
  <si>
    <t>Other (including labor)</t>
  </si>
  <si>
    <t>Other (Including Labor)</t>
  </si>
  <si>
    <t>101-14100-211</t>
  </si>
  <si>
    <t>101-14100-223</t>
  </si>
  <si>
    <t>101-14100-382</t>
  </si>
  <si>
    <t>101-14100-385</t>
  </si>
  <si>
    <t>101-12200-211</t>
  </si>
  <si>
    <t>Accessories</t>
  </si>
  <si>
    <t>101-12200-217</t>
  </si>
  <si>
    <t>101-13100-103</t>
  </si>
  <si>
    <t>Part Time Employees</t>
  </si>
  <si>
    <t>101-11200-990</t>
  </si>
  <si>
    <t>101-11200-331</t>
  </si>
  <si>
    <t>101-11300-226</t>
  </si>
  <si>
    <t>Sign Repair</t>
  </si>
  <si>
    <t>Programming</t>
  </si>
  <si>
    <t>Conferences</t>
  </si>
  <si>
    <t>101-14100-560</t>
  </si>
  <si>
    <t>Furniture</t>
  </si>
  <si>
    <t>Ice Cream</t>
  </si>
  <si>
    <t>Soft Drinks</t>
  </si>
  <si>
    <t>101-14300-945</t>
  </si>
  <si>
    <t>101-14300-943</t>
  </si>
  <si>
    <t>Dues, Fees</t>
  </si>
  <si>
    <t>Other Supplies</t>
  </si>
  <si>
    <t>Landscaping</t>
  </si>
  <si>
    <t>270-00000-151</t>
  </si>
  <si>
    <t>270-00000-223</t>
  </si>
  <si>
    <t>Building Repair</t>
  </si>
  <si>
    <t>270-00000-321</t>
  </si>
  <si>
    <t>Workman's Compensation</t>
  </si>
  <si>
    <t>Unemployment Compensation</t>
  </si>
  <si>
    <t>620-00000-322</t>
  </si>
  <si>
    <t>620-00000-224</t>
  </si>
  <si>
    <t>Street Maintenance</t>
  </si>
  <si>
    <t>620-00000-212</t>
  </si>
  <si>
    <t>Motor Fuels</t>
  </si>
  <si>
    <t>Pera Rate Increase Aid</t>
  </si>
  <si>
    <t>Charges for Service - Parks</t>
  </si>
  <si>
    <t>615-00000-31600</t>
  </si>
  <si>
    <t>License &amp; Permits</t>
  </si>
  <si>
    <t>615-00000-35100</t>
  </si>
  <si>
    <t>615-00000-37300</t>
  </si>
  <si>
    <t>620-00000-31600</t>
  </si>
  <si>
    <t>270-00000-36400</t>
  </si>
  <si>
    <t>Misc Revenue - Contributions</t>
  </si>
  <si>
    <t>625-00000-31600</t>
  </si>
  <si>
    <t>License &amp; Permit</t>
  </si>
  <si>
    <t>625-00000-35500</t>
  </si>
  <si>
    <t>650-00000-331</t>
  </si>
  <si>
    <t>620-00000-901</t>
  </si>
  <si>
    <t>615-00000-901</t>
  </si>
  <si>
    <t>Contributions</t>
  </si>
  <si>
    <t>615-00000-490</t>
  </si>
  <si>
    <t>Expenses</t>
  </si>
  <si>
    <t>Old Pool</t>
  </si>
  <si>
    <t>Local Government Aid - State Fire Aid</t>
  </si>
  <si>
    <t>101-14200-260</t>
  </si>
  <si>
    <t>Copies and Miscellaneous</t>
  </si>
  <si>
    <t>Miscellaneous</t>
  </si>
  <si>
    <t>14200 SWIM Center</t>
  </si>
  <si>
    <t>Fund 610 Cable TV</t>
  </si>
  <si>
    <t>610-00000-103</t>
  </si>
  <si>
    <t>610-00000-122</t>
  </si>
  <si>
    <t>610-00000-123</t>
  </si>
  <si>
    <t>610-00000-205</t>
  </si>
  <si>
    <t>610-00000-217</t>
  </si>
  <si>
    <t>610-00000-580</t>
  </si>
  <si>
    <t>610-00000-946</t>
  </si>
  <si>
    <t>610-00000-949</t>
  </si>
  <si>
    <t>610-00000-36504</t>
  </si>
  <si>
    <t>101-14600-311</t>
  </si>
  <si>
    <t>Professional Services - Other</t>
  </si>
  <si>
    <t>Transfer In From 490</t>
  </si>
  <si>
    <t>Awards</t>
  </si>
  <si>
    <t>101-13100-303</t>
  </si>
  <si>
    <t>Transfer in from 480</t>
  </si>
  <si>
    <t>Professional Services</t>
  </si>
  <si>
    <t>615-00000-36500</t>
  </si>
  <si>
    <t>146000 Old Pool</t>
  </si>
  <si>
    <t>12600 Animal Control</t>
  </si>
  <si>
    <t>101-12600-311</t>
  </si>
  <si>
    <t>630-00000-103</t>
  </si>
  <si>
    <t>630-00000-122</t>
  </si>
  <si>
    <t>630-00000-121</t>
  </si>
  <si>
    <t>630-00000-123</t>
  </si>
  <si>
    <t>630-00000-131</t>
  </si>
  <si>
    <t>630-00000-132</t>
  </si>
  <si>
    <t>630-00000-151</t>
  </si>
  <si>
    <t>630-00000-301</t>
  </si>
  <si>
    <t>630-00000-362</t>
  </si>
  <si>
    <t>630-00000-913</t>
  </si>
  <si>
    <t>630-00000-917</t>
  </si>
  <si>
    <t>630-00000-918</t>
  </si>
  <si>
    <t>Office Suppllies (200)</t>
  </si>
  <si>
    <t>630-00000-201</t>
  </si>
  <si>
    <t>630-00000-202</t>
  </si>
  <si>
    <t>630-00000-203</t>
  </si>
  <si>
    <t>Printed Forms</t>
  </si>
  <si>
    <t>630-00000-205</t>
  </si>
  <si>
    <t>Operation Supplies (210)</t>
  </si>
  <si>
    <t>630-00000-217</t>
  </si>
  <si>
    <t>630-00000-943</t>
  </si>
  <si>
    <t>Fees/Dues/Subscriptions</t>
  </si>
  <si>
    <t>630-00000-945</t>
  </si>
  <si>
    <t>630-00000-946</t>
  </si>
  <si>
    <t>630-00000-960</t>
  </si>
  <si>
    <t>630-00000-321</t>
  </si>
  <si>
    <t>630-00000-344</t>
  </si>
  <si>
    <t>630-00000-560</t>
  </si>
  <si>
    <t>Furniture and Fixtures</t>
  </si>
  <si>
    <t>Repairs and Maint. Contractual (900)</t>
  </si>
  <si>
    <t>630-00000-32700</t>
  </si>
  <si>
    <t>630-00000-32022</t>
  </si>
  <si>
    <t>630-00000-36400</t>
  </si>
  <si>
    <t>101-11200-304</t>
  </si>
  <si>
    <t>610-00000-311</t>
  </si>
  <si>
    <t>Small Tools</t>
  </si>
  <si>
    <t>Fund 314 GO 2005A</t>
  </si>
  <si>
    <t>Bond Proceeds</t>
  </si>
  <si>
    <t>615-00000-383</t>
  </si>
  <si>
    <t>650-00000-142</t>
  </si>
  <si>
    <t>650-00000-132</t>
  </si>
  <si>
    <t>Minimum Support Requirement</t>
  </si>
  <si>
    <t>270-00000-560</t>
  </si>
  <si>
    <t>650-00000-311</t>
  </si>
  <si>
    <t>615-00000-570</t>
  </si>
  <si>
    <t>Part Time Employees (Regular)</t>
  </si>
  <si>
    <t>Election</t>
  </si>
  <si>
    <t>490 Water Infrastructure</t>
  </si>
  <si>
    <t>480 Sewer Infrastructure</t>
  </si>
  <si>
    <t>101-11100-217</t>
  </si>
  <si>
    <t>630-00000-901</t>
  </si>
  <si>
    <t xml:space="preserve">Buildings </t>
  </si>
  <si>
    <t>101-12100-311</t>
  </si>
  <si>
    <t>101-13100-901</t>
  </si>
  <si>
    <t>101-14300-240</t>
  </si>
  <si>
    <t>Small Tool</t>
  </si>
  <si>
    <t>615-00000-384</t>
  </si>
  <si>
    <t>Fund 315 Pool Bonds 2012</t>
  </si>
  <si>
    <t>101-14200-901</t>
  </si>
  <si>
    <t>Emergency Mgmt</t>
  </si>
  <si>
    <t>Property Tax - Penalty &amp; Interest</t>
  </si>
  <si>
    <t>Market VCA - Fire truck</t>
  </si>
  <si>
    <t>License &amp; Permits - Cigarette</t>
  </si>
  <si>
    <t>Other Grants</t>
  </si>
  <si>
    <t>Non-Revenue - Deposits</t>
  </si>
  <si>
    <t>101-14200-106</t>
  </si>
  <si>
    <t>Temporary Employees (Overtime)</t>
  </si>
  <si>
    <t>101-14200-580</t>
  </si>
  <si>
    <t>101-14200-520</t>
  </si>
  <si>
    <t>101-14200-570</t>
  </si>
  <si>
    <t>Office Equipment/Furniture</t>
  </si>
  <si>
    <t>610-00000-960</t>
  </si>
  <si>
    <t>610-00000-331</t>
  </si>
  <si>
    <t>610-00000-943</t>
  </si>
  <si>
    <t>Dues, Fees, Subscriptions</t>
  </si>
  <si>
    <t>610-00000-309</t>
  </si>
  <si>
    <t>EDP, Software</t>
  </si>
  <si>
    <t>615-00000-913</t>
  </si>
  <si>
    <t>615-00000-103</t>
  </si>
  <si>
    <t>Unemployment Compensation (140)</t>
  </si>
  <si>
    <t>615-00000-35600</t>
  </si>
  <si>
    <t>615-00000-36100</t>
  </si>
  <si>
    <t>Misc Revenue - Interest</t>
  </si>
  <si>
    <t>615-00000-36800</t>
  </si>
  <si>
    <t>Misc Revenue - NSF</t>
  </si>
  <si>
    <t>615-00000-37400</t>
  </si>
  <si>
    <t>Non-Revenue (Tri-County)</t>
  </si>
  <si>
    <t>625-00000-35100</t>
  </si>
  <si>
    <t>625-00000-39000</t>
  </si>
  <si>
    <t>Transfers (490)</t>
  </si>
  <si>
    <t>625-00000-490</t>
  </si>
  <si>
    <t>Transfer Out</t>
  </si>
  <si>
    <t>625-00000-322</t>
  </si>
  <si>
    <t>Interest</t>
  </si>
  <si>
    <t>620-00000-902</t>
  </si>
  <si>
    <t>Transfer (490)</t>
  </si>
  <si>
    <t>620-00000-490</t>
  </si>
  <si>
    <t>620-00000-240</t>
  </si>
  <si>
    <t>630-00000-36100</t>
  </si>
  <si>
    <t>650-00000-903</t>
  </si>
  <si>
    <t>650-00000-433</t>
  </si>
  <si>
    <t>Advertising</t>
  </si>
  <si>
    <t>Advertising (433)</t>
  </si>
  <si>
    <t>650-00000-915</t>
  </si>
  <si>
    <t>650-00000-309</t>
  </si>
  <si>
    <t>EDP/Software</t>
  </si>
  <si>
    <t>650-00000-104</t>
  </si>
  <si>
    <t>Part-time Employees (Overtime)</t>
  </si>
  <si>
    <t>650-00000-257</t>
  </si>
  <si>
    <t>Ice Cream/Pop</t>
  </si>
  <si>
    <t>Transfer In (ELECTRIC)</t>
  </si>
  <si>
    <t>Transfer In (WATER SEWER)</t>
  </si>
  <si>
    <t>Syttende Mai</t>
  </si>
  <si>
    <t>Uffda Fest</t>
  </si>
  <si>
    <t>Music In The Park</t>
  </si>
  <si>
    <t>101-11300-142</t>
  </si>
  <si>
    <t>Unemployment Payments</t>
  </si>
  <si>
    <t>(TIF - Nerstad/Four Seasons)</t>
  </si>
  <si>
    <t>Transfer in from Fund 430</t>
  </si>
  <si>
    <t>NOTE:  The tax money which comes in from the development goes directly to pay the bonds where were issued to pay for the</t>
  </si>
  <si>
    <t>infrastructure installed with this development.  This levy is not included in the general fund tax levy.  Ad valorem taxes are required</t>
  </si>
  <si>
    <t xml:space="preserve">if there is a shortfall between funds collected and money required to pay the bond interest.  The developer paid his share up front. </t>
  </si>
  <si>
    <t>NOTE:  The total principal and interest payment for 2014 is $123,991.  This will be paid by transferring $23,991 from 430 and assessing a tax levy</t>
  </si>
  <si>
    <t xml:space="preserve">of $100,000.  Fund 430 is frozen for any expenditures except for transfers in each year toward this bond debt.  Up to $25,000 may be transferred in  </t>
  </si>
  <si>
    <t>each year for the life of the bond to reduce the tax levy required.</t>
  </si>
  <si>
    <t>Special Assessments</t>
  </si>
  <si>
    <t>(Bender Development Bond)</t>
  </si>
  <si>
    <t>Fund 354 HWY 44 BOND 2013</t>
  </si>
  <si>
    <t>Transfer in Sewer</t>
  </si>
  <si>
    <t>Transfer in Water</t>
  </si>
  <si>
    <t>interest payment was paid out of the Hwy 44 bond proceeds as well as the Feb 1, 2014 interest payment.  (We are paying</t>
  </si>
  <si>
    <t>future interest on the current interest payments.)  Beginning in 2015, the Feb 1st payment is interest and principal and the August 1st payment is</t>
  </si>
  <si>
    <t>interest.  Beginning August 1, 2014 payments are being made from ad valorem taxes and transfers from utilities.</t>
  </si>
  <si>
    <t>NOTE:  This budget has to pay for the August 1, 2014 interest payment and the Feb 1, 2015 interest and principal payment.  The August 1, 2013</t>
  </si>
  <si>
    <t>Other (Busing)</t>
  </si>
  <si>
    <t>Other - Security Cameras</t>
  </si>
  <si>
    <t>Miscellaneous Revenue - Rural Fire</t>
  </si>
  <si>
    <t>LGA</t>
  </si>
  <si>
    <t>Gen Fund Transfer to Contingency Fund</t>
  </si>
  <si>
    <t>12300 Ambulance</t>
  </si>
  <si>
    <t>101-12300-720</t>
  </si>
  <si>
    <t>Operating</t>
  </si>
  <si>
    <t>Total</t>
  </si>
  <si>
    <t>Other L-T Obligation</t>
  </si>
  <si>
    <t>280 Industrial Dvlp</t>
  </si>
  <si>
    <t>280-00000-949</t>
  </si>
  <si>
    <t>Ambulance</t>
  </si>
  <si>
    <t>Temp Employees (Coaches)</t>
  </si>
  <si>
    <t>Inter-Government - Other</t>
  </si>
  <si>
    <t>Homecoming</t>
  </si>
  <si>
    <t>Debt Service Funds Summary</t>
  </si>
  <si>
    <t>Total Expenditures</t>
  </si>
  <si>
    <t xml:space="preserve">Attachments:  Payment schedule for each bond.  </t>
  </si>
  <si>
    <t>Recreation</t>
  </si>
  <si>
    <t>14300 Recreation</t>
  </si>
  <si>
    <t>Temp Employees (Ice Rink)</t>
  </si>
  <si>
    <t>Other (Non-Sports)</t>
  </si>
  <si>
    <t>Contributions - SGC</t>
  </si>
  <si>
    <t>12500 Emergency Mgmt</t>
  </si>
  <si>
    <t>101-12500-946</t>
  </si>
  <si>
    <t>101-12500-221</t>
  </si>
  <si>
    <t>Surplus/Deficit</t>
  </si>
  <si>
    <t>**  The ambulance service is managed by the independent Ambulance Board.  The city has representation on the Board.  The</t>
  </si>
  <si>
    <t>**  The Deputy Clerk's salary has been moved here from utility funds but money will still have to be transferred from utility funds to cover it.  This change</t>
  </si>
  <si>
    <t>will simplify accounting.</t>
  </si>
  <si>
    <t>Engineering Fees/Testing</t>
  </si>
  <si>
    <t>Pool Bonds (Fund 315)</t>
  </si>
  <si>
    <t>Street Bonds (Fund 354)</t>
  </si>
  <si>
    <t>TOTAL DEBT SERVICE EXPENDITURES</t>
  </si>
  <si>
    <t xml:space="preserve">610-00000-121 </t>
  </si>
  <si>
    <t>Swim Ctr</t>
  </si>
  <si>
    <t>Fund</t>
  </si>
  <si>
    <t>101-12200-945</t>
  </si>
  <si>
    <t>101-12500-321</t>
  </si>
  <si>
    <t>**Most of the parks expenses, except for special projects, are rolled into 13100 - Streets and Park Maintenance</t>
  </si>
  <si>
    <t>610-00000-344</t>
  </si>
  <si>
    <t>615-00000-351</t>
  </si>
  <si>
    <t>620-00000-36100</t>
  </si>
  <si>
    <t>425 Streets Infrastructure</t>
  </si>
  <si>
    <t>450 Electric Infrastructure</t>
  </si>
  <si>
    <t>625-00000-361</t>
  </si>
  <si>
    <t>650-00000-36200</t>
  </si>
  <si>
    <t>650-00000-36500</t>
  </si>
  <si>
    <t>Misc Rev - Other</t>
  </si>
  <si>
    <t>Misc Rev - Rents</t>
  </si>
  <si>
    <t>650-00000-36700</t>
  </si>
  <si>
    <t>Misc Rec - Fest Bld Bar</t>
  </si>
  <si>
    <t>650-00000-560</t>
  </si>
  <si>
    <t>Fund 630 Library</t>
  </si>
  <si>
    <t>Fund 460 Contingency</t>
  </si>
  <si>
    <t>Fund 435 Capital Equipment</t>
  </si>
  <si>
    <t>(Formerly Vehicle Depreciation)</t>
  </si>
  <si>
    <t>Industrial Development (EDA)</t>
  </si>
  <si>
    <t>Gen Fund Transfer to Capital Equipment</t>
  </si>
  <si>
    <t>Transfer in from 101</t>
  </si>
  <si>
    <t>DEBT SERVICE FUNDS</t>
  </si>
  <si>
    <t>Actuals</t>
  </si>
  <si>
    <t>270-00000-121</t>
  </si>
  <si>
    <t>(EDA)</t>
  </si>
  <si>
    <t>Other (Lawn Service)</t>
  </si>
  <si>
    <t>Fund 270 Fest Building/</t>
  </si>
  <si>
    <t>Log Cabin</t>
  </si>
  <si>
    <t>Other Gen Fund Revs</t>
  </si>
  <si>
    <t>(see Rev Page for Detail)</t>
  </si>
  <si>
    <t>Gen Fund Levy</t>
  </si>
  <si>
    <t>Debt Service Levy</t>
  </si>
  <si>
    <t>Library Levy</t>
  </si>
  <si>
    <t>TOTAL LEVY</t>
  </si>
  <si>
    <t>Total Ad Valorem Tax from Tax Levy:</t>
  </si>
  <si>
    <t>Tax Rate Projected</t>
  </si>
  <si>
    <t>Electric Transfer In</t>
  </si>
  <si>
    <t>Capacity (After TIF)</t>
  </si>
  <si>
    <t>Transfer In From 101</t>
  </si>
  <si>
    <t>Other  (Set Aside for New Equip)</t>
  </si>
  <si>
    <t>Inter-Government-Other (City Funding)</t>
  </si>
  <si>
    <t>*Each council member is entitled to $200</t>
  </si>
  <si>
    <t>Conference*</t>
  </si>
  <si>
    <t>101-12100-309</t>
  </si>
  <si>
    <t>101-14100-303</t>
  </si>
  <si>
    <t>Fund 425 Street Infrastructure</t>
  </si>
  <si>
    <t>TOTAL YTD</t>
  </si>
  <si>
    <t>Fund 450 Electric Infrastructure</t>
  </si>
  <si>
    <t>Less Expenses</t>
  </si>
  <si>
    <t>Plus Interest YTD</t>
  </si>
  <si>
    <t>Fund 480 Sewer Infrastructure</t>
  </si>
  <si>
    <t>Plus Transfers In From 615 (CIP)</t>
  </si>
  <si>
    <t>Fund 490 Water Infrastructure</t>
  </si>
  <si>
    <t>101-11300-104</t>
  </si>
  <si>
    <t>620-00000-601</t>
  </si>
  <si>
    <t>620-00000-611</t>
  </si>
  <si>
    <t>Debt Service (600)</t>
  </si>
  <si>
    <t>Bond Principal (Hwy 44/MainSt)</t>
  </si>
  <si>
    <t>Bond Interest (Hwy 44/Main St)</t>
  </si>
  <si>
    <t>625-00000-601</t>
  </si>
  <si>
    <t>625-00000-611</t>
  </si>
  <si>
    <t>Bond Principal (Hwy 44/Main St)</t>
  </si>
  <si>
    <t>*Regular Judges accumulate approx 125 hours - new wage $10 per hour in 2016</t>
  </si>
  <si>
    <t>*Head Judges accumulate approx 50 hours - new wage $11 per hour in 2016</t>
  </si>
  <si>
    <t>Miscellaneous Revenue - LMC Dividends</t>
  </si>
  <si>
    <t>625-00000-36100</t>
  </si>
  <si>
    <t>Misc Rev - Interest</t>
  </si>
  <si>
    <t>Advertising (400)</t>
  </si>
  <si>
    <t>270-00000-433</t>
  </si>
  <si>
    <t>101-14200-33101</t>
  </si>
  <si>
    <t>Charges for Pool - Lessons</t>
  </si>
  <si>
    <t>101-14200-33102</t>
  </si>
  <si>
    <t>Charges for Pool - Passes</t>
  </si>
  <si>
    <t>101-14200-33103</t>
  </si>
  <si>
    <t>Charges for Pool - Admissions</t>
  </si>
  <si>
    <t>101-14200-33104</t>
  </si>
  <si>
    <t>Charges for Pool - Concessions</t>
  </si>
  <si>
    <t>Miscellaneous Revenue - Special Assessments</t>
  </si>
  <si>
    <t>101-14300-33200</t>
  </si>
  <si>
    <t>101-14300-36400</t>
  </si>
  <si>
    <t>Charges for Services - Parks</t>
  </si>
  <si>
    <t>101-14300-33104</t>
  </si>
  <si>
    <t>Concessions</t>
  </si>
  <si>
    <t>Sewer Infrastructure Fees/Interest</t>
  </si>
  <si>
    <t>Water Infrastructure Fees/Interest</t>
  </si>
  <si>
    <t>650-00000-36800</t>
  </si>
  <si>
    <t>Misc Rev - NSF Checks</t>
  </si>
  <si>
    <t>650-00000-570</t>
  </si>
  <si>
    <t>Office Equip</t>
  </si>
  <si>
    <t>101-14200-33100</t>
  </si>
  <si>
    <t>Charges for Pool - Parties</t>
  </si>
  <si>
    <t>101-14200-36500</t>
  </si>
  <si>
    <t>Misc Rev - Others</t>
  </si>
  <si>
    <t>Paid off Feb 1, 2022</t>
  </si>
  <si>
    <t>** Grant received from state for training reimbursement</t>
  </si>
  <si>
    <t>Bond Prinicipal (Sewer Bond)</t>
  </si>
  <si>
    <t>Bond Interest (Sewer Bond)</t>
  </si>
  <si>
    <t>Other than Buildings*</t>
  </si>
  <si>
    <t>Transfer out- to general fund</t>
  </si>
  <si>
    <t>Transfer Out- to general fund</t>
  </si>
  <si>
    <t>Water/Sewer Transfer In</t>
  </si>
  <si>
    <t>Victim Services</t>
  </si>
  <si>
    <t xml:space="preserve">Other </t>
  </si>
  <si>
    <t>General (to 405)</t>
  </si>
  <si>
    <t>Buildings*</t>
  </si>
  <si>
    <t>Fund 319 TIF GO 2015A</t>
  </si>
  <si>
    <t>(Nerstad/Bender Development Refinance)</t>
  </si>
  <si>
    <t>Transfer from 318 to 319</t>
  </si>
  <si>
    <t>Transfer from 314 to 319</t>
  </si>
  <si>
    <t>Transfer Out to 319</t>
  </si>
  <si>
    <t>Fund 318 BENDER TIF FUND</t>
  </si>
  <si>
    <t>Transfer to 319</t>
  </si>
  <si>
    <t>Charges for Services Recycling</t>
  </si>
  <si>
    <t>Semcac</t>
  </si>
  <si>
    <t>101-12200-611</t>
  </si>
  <si>
    <t>101-12300-410</t>
  </si>
  <si>
    <t>Salaries/Wages</t>
  </si>
  <si>
    <t>** 2017 is last lease payment on truck</t>
  </si>
  <si>
    <t>Fund 290 EDA Operating Fund</t>
  </si>
  <si>
    <t>290-00000-36100</t>
  </si>
  <si>
    <t>290-00000-36200</t>
  </si>
  <si>
    <t>290-00000-39000</t>
  </si>
  <si>
    <t>Transfer In - City Contribution</t>
  </si>
  <si>
    <t>Fund 295 EDA Revolving Fund</t>
  </si>
  <si>
    <t>295-00000-36100</t>
  </si>
  <si>
    <t>295-00000-37202</t>
  </si>
  <si>
    <t>Rev-Rfnd Reimbursements Small Cities</t>
  </si>
  <si>
    <t>320-00000-36100</t>
  </si>
  <si>
    <t>320-00000-36200</t>
  </si>
  <si>
    <t>Fund 320 EDA Operating Fund</t>
  </si>
  <si>
    <t>Misc Revenue - Rents (Winneshiek Medical)</t>
  </si>
  <si>
    <t>Taxes (370)</t>
  </si>
  <si>
    <t>320-00000-371</t>
  </si>
  <si>
    <t>Property Tax</t>
  </si>
  <si>
    <t>** Part of these expenses are paid by the rural areas</t>
  </si>
  <si>
    <t>Programming (Fire Education)</t>
  </si>
  <si>
    <t>320-00000-362</t>
  </si>
  <si>
    <t>290-00000-221</t>
  </si>
  <si>
    <t>290-00000-311</t>
  </si>
  <si>
    <t>290-00000-362</t>
  </si>
  <si>
    <t>290-00000-381</t>
  </si>
  <si>
    <t>290-00000-382</t>
  </si>
  <si>
    <t>290-00000-383</t>
  </si>
  <si>
    <t>290-00000-385</t>
  </si>
  <si>
    <t>290-00000-433</t>
  </si>
  <si>
    <t>290-00000-949</t>
  </si>
  <si>
    <t>290-00000-36302</t>
  </si>
  <si>
    <t>Misc Revenue - Sale of Property</t>
  </si>
  <si>
    <t>290-00000-36400</t>
  </si>
  <si>
    <t>290-00000-304</t>
  </si>
  <si>
    <t>290-00000-322</t>
  </si>
  <si>
    <t>290-00000-943</t>
  </si>
  <si>
    <t>Dues, Fees, Subscrip &amp; Lic</t>
  </si>
  <si>
    <t>Repairs and Maintenance Contractual (900)</t>
  </si>
  <si>
    <t>290-00000-901</t>
  </si>
  <si>
    <t>320-00000-901</t>
  </si>
  <si>
    <t>610-00000-36100</t>
  </si>
  <si>
    <t>270-00000-224</t>
  </si>
  <si>
    <t>Street Maintenance Mtrls</t>
  </si>
  <si>
    <t>460-00000-36100</t>
  </si>
  <si>
    <t>460-00000-39000</t>
  </si>
  <si>
    <t>460-00000-490</t>
  </si>
  <si>
    <t xml:space="preserve">Cash on Hand </t>
  </si>
  <si>
    <t>****7300 used for assessment and $24750 every year (based off of cash balances we currently have in fund)</t>
  </si>
  <si>
    <t>290-00000-371</t>
  </si>
  <si>
    <t>Property Taxes</t>
  </si>
  <si>
    <t>650-00000-36100</t>
  </si>
  <si>
    <t>Tank Mixer - $15,000</t>
  </si>
  <si>
    <t>Solid hauling - $8,000</t>
  </si>
  <si>
    <t>Transfer in from 450</t>
  </si>
  <si>
    <t>OK</t>
  </si>
  <si>
    <t>Unemployment</t>
  </si>
  <si>
    <t>625-00000-32900</t>
  </si>
  <si>
    <t>625-00000-36502</t>
  </si>
  <si>
    <t>Misc Rev - Bond Proceeds</t>
  </si>
  <si>
    <t>625-00000-530</t>
  </si>
  <si>
    <t>Improvements Other than Bldgs</t>
  </si>
  <si>
    <t>Misc Rev - Contributions</t>
  </si>
  <si>
    <t>101-11300-31400</t>
  </si>
  <si>
    <t>101-11300-31600</t>
  </si>
  <si>
    <t>License &amp; Permits - Building</t>
  </si>
  <si>
    <t>101-11300-31700</t>
  </si>
  <si>
    <t>101-11300-31800</t>
  </si>
  <si>
    <t>101-11300-33300</t>
  </si>
  <si>
    <t>Charges for Services - Other</t>
  </si>
  <si>
    <t>101-11300-37300</t>
  </si>
  <si>
    <t>Non Rev - Refunds &amp; Reimbursements</t>
  </si>
  <si>
    <t>101-11300-31500</t>
  </si>
  <si>
    <t>101-11300-31300</t>
  </si>
  <si>
    <t>License &amp; Permits - Beer</t>
  </si>
  <si>
    <t>101-12100-31800</t>
  </si>
  <si>
    <t>101-12100-32700</t>
  </si>
  <si>
    <t>Inter Govt Other Gov Units</t>
  </si>
  <si>
    <t>101-12100-34100</t>
  </si>
  <si>
    <t>101-12100-36500</t>
  </si>
  <si>
    <t>101-12100-36800</t>
  </si>
  <si>
    <t>101-12100-142</t>
  </si>
  <si>
    <t>101-12100-903</t>
  </si>
  <si>
    <t>Improvements (Not Bldg)</t>
  </si>
  <si>
    <t>Inter Govt State Police Aid</t>
  </si>
  <si>
    <t>101-00000-30302</t>
  </si>
  <si>
    <t>Local Govt Aid - Fire</t>
  </si>
  <si>
    <t>101-12200-32700</t>
  </si>
  <si>
    <t>101-12200-36500</t>
  </si>
  <si>
    <t>Inter Govt State Grant</t>
  </si>
  <si>
    <t>101-12200-36503</t>
  </si>
  <si>
    <t>Misc Rev - Rural Fire Contribution</t>
  </si>
  <si>
    <t>Fire Pension</t>
  </si>
  <si>
    <t>101-13100-33300</t>
  </si>
  <si>
    <t>101-13100-35500</t>
  </si>
  <si>
    <t>Utility Sales/Serv - Penalties</t>
  </si>
  <si>
    <t>101-13100-32300</t>
  </si>
  <si>
    <t>101-14100-433</t>
  </si>
  <si>
    <t>Advertising (Fitness Stations)</t>
  </si>
  <si>
    <t>* Roverud Park, Ballfield and Basketball Court</t>
  </si>
  <si>
    <t>Fund 330 LaX Fabricating Tax Abatement</t>
  </si>
  <si>
    <t xml:space="preserve">The amount will change annually based on future valuations, tax rates, etc.  The amount will be a dwindling amount paid directly to </t>
  </si>
  <si>
    <t>the company before the end of the year once it is confirmed that they paid taxes.  Abatement will run 2017-2021.</t>
  </si>
  <si>
    <t>Payment Estimates</t>
  </si>
  <si>
    <t>Plus Transfer In from 101</t>
  </si>
  <si>
    <t>To CIP Funds</t>
  </si>
  <si>
    <t>295-11000</t>
  </si>
  <si>
    <t>Accounts Receivable/Principal Pmts</t>
  </si>
  <si>
    <t>13230 Recycling</t>
  </si>
  <si>
    <t>101-13230-34303</t>
  </si>
  <si>
    <t>Charges for Services - Recycling</t>
  </si>
  <si>
    <t>101-13230-305</t>
  </si>
  <si>
    <t>Recycling Professional Svcs</t>
  </si>
  <si>
    <t>330-00000-39000</t>
  </si>
  <si>
    <t>330-00000-602</t>
  </si>
  <si>
    <t>101-14100-36400</t>
  </si>
  <si>
    <t>101-14100-33201</t>
  </si>
  <si>
    <t>101-11200-309</t>
  </si>
  <si>
    <t>EDP, Software/Design</t>
  </si>
  <si>
    <t>** No PERA rate increase for 2017</t>
  </si>
  <si>
    <t>City and the rural areas make contributions.  The City's contribution for 2017 is $8000.</t>
  </si>
  <si>
    <t>**  $3000 Retention Stipend ending in 2017</t>
  </si>
  <si>
    <t>101-13100-550</t>
  </si>
  <si>
    <t>Motor Vehicles</t>
  </si>
  <si>
    <t>101-14100-550</t>
  </si>
  <si>
    <t>290-00000-103</t>
  </si>
  <si>
    <t>Part Time Regular</t>
  </si>
  <si>
    <t>290-00000-121</t>
  </si>
  <si>
    <t>290-00000-122</t>
  </si>
  <si>
    <t>290-00000-123</t>
  </si>
  <si>
    <t>290-00000-224</t>
  </si>
  <si>
    <t>Street Maintenance Material</t>
  </si>
  <si>
    <t>295-00000-311</t>
  </si>
  <si>
    <t>295-00000-901</t>
  </si>
  <si>
    <t>320-00000-611</t>
  </si>
  <si>
    <t>320-21100</t>
  </si>
  <si>
    <t>Due to Other</t>
  </si>
  <si>
    <t xml:space="preserve">800 mhz Pagers </t>
  </si>
  <si>
    <t>30 x $600 = $18,000</t>
  </si>
  <si>
    <t xml:space="preserve">Turn Out Gear </t>
  </si>
  <si>
    <t>15 x $7,666 = $115,000</t>
  </si>
  <si>
    <t>New Main Pumper</t>
  </si>
  <si>
    <t>Gear Extractor</t>
  </si>
  <si>
    <t>Jaws</t>
  </si>
  <si>
    <t>SCBA Air Packs</t>
  </si>
  <si>
    <t>10 Yr Life</t>
  </si>
  <si>
    <t>5 Yr Life</t>
  </si>
  <si>
    <t>**AFG grant - not open yet</t>
  </si>
  <si>
    <t xml:space="preserve">**405 has $22,060.21 as of Aug 1, 2017 </t>
  </si>
  <si>
    <t>**405 - $25,000 of the $30,000 is restricted yearly for Pumper Purchase</t>
  </si>
  <si>
    <t>$500,000 - setting aside $25,000 each year into 405 for truck</t>
  </si>
  <si>
    <t>Street construction (new road) on 2nd Ave NE - $160,000 ($100,000 budget and $60,000 infrastructure)</t>
  </si>
  <si>
    <t>New benches and picnic tables for shelters at Trollskogen - $6000</t>
  </si>
  <si>
    <t>Ice Cream (Food Included)</t>
  </si>
  <si>
    <t>Transfer in from General Fund</t>
  </si>
  <si>
    <t>Replace 25 poles throughout the city</t>
  </si>
  <si>
    <t>Storm Sewer Repairs</t>
  </si>
  <si>
    <t>Water Tower</t>
  </si>
  <si>
    <t>bond?</t>
  </si>
  <si>
    <t>615-00000-344</t>
  </si>
  <si>
    <t>Debt Service</t>
  </si>
  <si>
    <t>615-00000-611</t>
  </si>
  <si>
    <t>2018 Projects</t>
  </si>
  <si>
    <t>620-00000-344</t>
  </si>
  <si>
    <t>620-00000-530</t>
  </si>
  <si>
    <t>Improvements Other Than Bldgs</t>
  </si>
  <si>
    <t>620-00000-36502</t>
  </si>
  <si>
    <t>Misc Revenue - Bond Proceeds</t>
  </si>
  <si>
    <t>625-00000-36500</t>
  </si>
  <si>
    <t>Storm Sewer Repairs - $30,000 from Infrastructure</t>
  </si>
  <si>
    <t>Reach In Freezer - $2500</t>
  </si>
  <si>
    <t>Paint slides - TNT - $2700</t>
  </si>
  <si>
    <t>Sidewalk Repair - $5000 for one quadrant each year</t>
  </si>
  <si>
    <t>New vehicle - Ford 350 - come out of vehicle replacement fund</t>
  </si>
  <si>
    <t>*Will wash out at year end - revenues will equal expenditures</t>
  </si>
  <si>
    <t>Miscellaneous Revenue - Rents (Verizon)</t>
  </si>
  <si>
    <t>2017: $12077.28</t>
  </si>
  <si>
    <t>2018: $9489.29</t>
  </si>
  <si>
    <t>2019: $6901.30</t>
  </si>
  <si>
    <t>2020: $4313.32</t>
  </si>
  <si>
    <t>2021: $1725.33</t>
  </si>
  <si>
    <t>Actual Taxes: $17,253.26</t>
  </si>
  <si>
    <t>Offsale Cooler - $3500</t>
  </si>
  <si>
    <t>Refunded to 319</t>
  </si>
  <si>
    <t>***COMBINED WITH 317 - any money that comes in will be used to pay bond payment in Fund 319</t>
  </si>
  <si>
    <t>Transfer from 317 to 319</t>
  </si>
  <si>
    <t>101-12200-36400</t>
  </si>
  <si>
    <t>101-12200-601</t>
  </si>
  <si>
    <t>101-13100-36500</t>
  </si>
  <si>
    <t>101-13100-39000</t>
  </si>
  <si>
    <t>Transfer In from Vehicle Replacement</t>
  </si>
  <si>
    <t>615-00000-440</t>
  </si>
  <si>
    <t>To Sewer Infrastructure Project Fund</t>
  </si>
  <si>
    <t>625-00000-36300</t>
  </si>
  <si>
    <t>Misc Rev - Sale of Equipment</t>
  </si>
  <si>
    <t>650-00000-490</t>
  </si>
  <si>
    <t>Transfer Out (Donations)</t>
  </si>
  <si>
    <t>Property Tax General Revenue/Ad Valorem</t>
  </si>
  <si>
    <t>*Transferred balance in account to 319</t>
  </si>
  <si>
    <t>290-00000-32900</t>
  </si>
  <si>
    <t>290-00000-36500</t>
  </si>
  <si>
    <t>290-00000-351</t>
  </si>
  <si>
    <t>Legal Notice</t>
  </si>
  <si>
    <t>295-00000-304</t>
  </si>
  <si>
    <t>295-00000-949</t>
  </si>
  <si>
    <t>270-00000-36301</t>
  </si>
  <si>
    <t>Misc Revenue - Sale of Equipment</t>
  </si>
  <si>
    <t>615-00000-381</t>
  </si>
  <si>
    <t>**Licensed police officers are covered by the Police Pension fund, not PERA.  The City gets a refund for some of these monies from the state.</t>
  </si>
  <si>
    <t>*Bender Developer Payments/Assessent goes into 319 instead of 317.  Only deposit going into this account.  May be</t>
  </si>
  <si>
    <t>Tax Levy from 101 to 319</t>
  </si>
  <si>
    <t>Fund 240 TIF</t>
  </si>
  <si>
    <t>Nisse Treehouse</t>
  </si>
  <si>
    <t>Turn out gear</t>
  </si>
  <si>
    <t>Handhelds</t>
  </si>
  <si>
    <t>Water Fountain for Trollskogen - $1500</t>
  </si>
  <si>
    <t xml:space="preserve">13100 Streets </t>
  </si>
  <si>
    <t>Sidewalk Repair - $5000 for one quadrant each year NW</t>
  </si>
  <si>
    <t>3rd Ave SW - $145,000</t>
  </si>
  <si>
    <t>Maple Drive - $60,000</t>
  </si>
  <si>
    <t>Actual Taxes: $16,751.21</t>
  </si>
  <si>
    <t>City Portion: $9,213.17</t>
  </si>
  <si>
    <t>2019 Projects</t>
  </si>
  <si>
    <t>($10,000 Infrastructure Fund)</t>
  </si>
  <si>
    <t>Maple Drive - $60,000 ($10,000 from Infrastructure)</t>
  </si>
  <si>
    <t>2nd Ave NE - cost is $160,000.  Estimate that there will be $60,000 in infrastructure towards project</t>
  </si>
  <si>
    <t>Purchases for 2019</t>
  </si>
  <si>
    <t>Transfer in from 435</t>
  </si>
  <si>
    <t>625-00000-550</t>
  </si>
  <si>
    <t>Vehicles</t>
  </si>
  <si>
    <t>Police Interceptor</t>
  </si>
  <si>
    <t xml:space="preserve">Watermain by school </t>
  </si>
  <si>
    <t>EDA Water service to SG Soda</t>
  </si>
  <si>
    <t>Transfer in from 240</t>
  </si>
  <si>
    <t>Transfer in from 245</t>
  </si>
  <si>
    <t>Server</t>
  </si>
  <si>
    <t>Lyn Computer</t>
  </si>
  <si>
    <t xml:space="preserve">Replace 25 Poles </t>
  </si>
  <si>
    <t>2020 Projects</t>
  </si>
  <si>
    <t>Paint both slides</t>
  </si>
  <si>
    <t>Square Umbrella Top of Slides</t>
  </si>
  <si>
    <t>Floor Scrubber</t>
  </si>
  <si>
    <t>Linoleum in Log Cabin</t>
  </si>
  <si>
    <t>Water Fountain FB and LC</t>
  </si>
  <si>
    <t>Street Sander</t>
  </si>
  <si>
    <t>Van Garage Door</t>
  </si>
  <si>
    <t>per Mike Bubany - rest is from cash on hand</t>
  </si>
  <si>
    <t>30 x $3,000 = $90,000</t>
  </si>
  <si>
    <t>Cash on Hand</t>
  </si>
  <si>
    <t>Gen Fund Transfer to Refunded Bond</t>
  </si>
  <si>
    <t>*Any money that comes in, transfer to 319.  Keep a zero balance (per Mike Bubany)</t>
  </si>
  <si>
    <t>240-00000-430</t>
  </si>
  <si>
    <t>240-00000-490</t>
  </si>
  <si>
    <t>240-00000-611</t>
  </si>
  <si>
    <t>Payment to Nisse</t>
  </si>
  <si>
    <t>240-00000-31050</t>
  </si>
  <si>
    <t>*Will be negative for 10 years.</t>
  </si>
  <si>
    <t>*Payments are made in August and February - i.e. Taxes paid in 2018 - payments are made in Aug 2018 and Feb 2019.</t>
  </si>
  <si>
    <t>*Keep depositing increments to this account but transfer over to 319.  Keep a zero balance.</t>
  </si>
  <si>
    <t>City Portion: $12,077.28</t>
  </si>
  <si>
    <t>Lights - Viking Electric</t>
  </si>
  <si>
    <t>1st Ave NW - $175,000</t>
  </si>
  <si>
    <t>*Make position salaried at $5000 - teach Admin Assistant to do some things</t>
  </si>
  <si>
    <r>
      <t>*</t>
    </r>
    <r>
      <rPr>
        <i/>
        <sz val="10"/>
        <rFont val="Arial"/>
        <family val="2"/>
      </rPr>
      <t>Grant money will cover all</t>
    </r>
  </si>
  <si>
    <r>
      <t>*</t>
    </r>
    <r>
      <rPr>
        <i/>
        <sz val="10"/>
        <rFont val="Arial"/>
        <family val="2"/>
      </rPr>
      <t>Grant money will cover portion - $20,000 set aside into 405</t>
    </r>
  </si>
  <si>
    <r>
      <t>*</t>
    </r>
    <r>
      <rPr>
        <i/>
        <sz val="10"/>
        <rFont val="Arial"/>
        <family val="2"/>
      </rPr>
      <t>$25,000 set aside into 405</t>
    </r>
  </si>
  <si>
    <t>405 Fire Equipment</t>
  </si>
  <si>
    <t>Storm sewer at Roverud Park - $15,000</t>
  </si>
  <si>
    <t>TRUCK SAVINGS</t>
  </si>
  <si>
    <t>YEAR</t>
  </si>
  <si>
    <t>TURN OUT GEAR SAVINGS</t>
  </si>
  <si>
    <t>Total Savings YTD</t>
  </si>
  <si>
    <t>**RESTRICTED FUNDS IN 405 FOR TRUCK AND TURN OUT GEAR</t>
  </si>
  <si>
    <t>405-00000-36100</t>
  </si>
  <si>
    <t>405-00000-36400</t>
  </si>
  <si>
    <t>405-00000-39000</t>
  </si>
  <si>
    <t>405-00000-580</t>
  </si>
  <si>
    <t>Will be taken care of by Friends of the Pool</t>
  </si>
  <si>
    <t>2019 Increase</t>
  </si>
  <si>
    <t>16.95% Employer 11.30% Employee</t>
  </si>
  <si>
    <t>2020 Increase</t>
  </si>
  <si>
    <t>17.70% Employer 11.80% Employee</t>
  </si>
  <si>
    <r>
      <rPr>
        <strike/>
        <sz val="10"/>
        <color rgb="FFFF0000"/>
        <rFont val="Arial"/>
        <family val="2"/>
      </rPr>
      <t>*Election expenses occur only in even numbered years.  However, 1/2 of the budget is set aside each year.</t>
    </r>
    <r>
      <rPr>
        <sz val="10"/>
        <color rgb="FFFF0000"/>
        <rFont val="Arial"/>
        <family val="2"/>
      </rPr>
      <t xml:space="preserve"> - Amended to occur in correct year.</t>
    </r>
  </si>
  <si>
    <t>Chip Sealing Bathrooms</t>
  </si>
  <si>
    <t>Solid hauling - $6,000</t>
  </si>
  <si>
    <t>Storm Sewer Repairs - $25,000</t>
  </si>
  <si>
    <t>625-00000-730</t>
  </si>
  <si>
    <t>Interfund Loan to Electric</t>
  </si>
  <si>
    <t>Transfer to Sewer Fund</t>
  </si>
  <si>
    <t>Non-Revenue (Sewer Interfund Loan)</t>
  </si>
  <si>
    <t>101-12200-551</t>
  </si>
  <si>
    <t>Land</t>
  </si>
  <si>
    <t>YTD</t>
  </si>
  <si>
    <t>Purchases for 2020</t>
  </si>
  <si>
    <t>101-11100-946</t>
  </si>
  <si>
    <t>Training</t>
  </si>
  <si>
    <t>101-12200-36200</t>
  </si>
  <si>
    <t>Rent</t>
  </si>
  <si>
    <t>101-12200-371</t>
  </si>
  <si>
    <t>405-00000-32900</t>
  </si>
  <si>
    <t>Federal Grant</t>
  </si>
  <si>
    <t>101-14100-36500</t>
  </si>
  <si>
    <t>Misc Rev - Football Field Rent</t>
  </si>
  <si>
    <t>Loan Proceeds</t>
  </si>
  <si>
    <t>*Start to levy $25,000 per year as money will run out (per Mike Bubany) 2019 only</t>
  </si>
  <si>
    <t>405-00000-946</t>
  </si>
  <si>
    <t>Conference/School/Training</t>
  </si>
  <si>
    <t>Temp Employees (Mgrs, Coaches, Ice Rink)</t>
  </si>
  <si>
    <t>Partitions for Womens Bathroom</t>
  </si>
  <si>
    <t>Plus Deposits</t>
  </si>
  <si>
    <t>*Take levy from 319 and put in contigency as cushion $25,000 per Mike in 2020</t>
  </si>
  <si>
    <t>615-00000-11300</t>
  </si>
  <si>
    <t>CD Principal</t>
  </si>
  <si>
    <t>Transfer in from 456</t>
  </si>
  <si>
    <t>??</t>
  </si>
  <si>
    <t>Remodel Bathrooms</t>
  </si>
  <si>
    <t>Chairs/Lounges (currently have</t>
  </si>
  <si>
    <t>Excess TIF District 23</t>
  </si>
  <si>
    <t>(From 314 and 318)</t>
  </si>
  <si>
    <t>End of 2nd Ave NW - $346,000</t>
  </si>
  <si>
    <t>End of 3rd Ave NW - $225,000</t>
  </si>
  <si>
    <t>Full Recontruct 1st St NW - $731,000</t>
  </si>
  <si>
    <t>Mulch for Zip Line - $2,000</t>
  </si>
  <si>
    <t>Pool Filter</t>
  </si>
  <si>
    <t>Leak Repair</t>
  </si>
  <si>
    <t>? Do not know if this will be in 2019 yet or 2020</t>
  </si>
  <si>
    <t>? Waiting on price</t>
  </si>
  <si>
    <t xml:space="preserve"> 22 loungers and 20 chairs)</t>
  </si>
  <si>
    <t>Plow Truck</t>
  </si>
  <si>
    <t>Plus Depreciation 2020</t>
  </si>
  <si>
    <t>Electrical upgrade</t>
  </si>
  <si>
    <t>at Trollskogen</t>
  </si>
  <si>
    <t>New Light Poles (North Lift</t>
  </si>
  <si>
    <t xml:space="preserve"> Station/1st Ave SW)</t>
  </si>
  <si>
    <t>Solid Hauling - $4,000</t>
  </si>
  <si>
    <t>Lift Station Pumps - $20,000</t>
  </si>
  <si>
    <t>? Share costs of 1st St SW Storm Sewer Repairs</t>
  </si>
  <si>
    <t xml:space="preserve">Projected 2020 Tax </t>
  </si>
  <si>
    <t>New Picnic Tables and Benchs - $1,000</t>
  </si>
  <si>
    <t>Stain for Log Cabin and Gazebo - $5,000</t>
  </si>
  <si>
    <t>Bathouse Sidewalk repair - $1,000</t>
  </si>
  <si>
    <t>Air Conditioning</t>
  </si>
  <si>
    <t>?</t>
  </si>
  <si>
    <t>Storm Sewer Repairs at City Shop - 3rd Ave NW - $20,000</t>
  </si>
  <si>
    <t>Plow Truck - $180,000 (vehicle replacement)</t>
  </si>
  <si>
    <t>Mill and Overlay NE Section - $100,000</t>
  </si>
  <si>
    <t>New floor - $15,000</t>
  </si>
  <si>
    <t>License &amp; Permits - Other (Richards Sani)</t>
  </si>
  <si>
    <t>1st St SW Water, Sewer</t>
  </si>
  <si>
    <t>and Street</t>
  </si>
  <si>
    <t>1st St SW</t>
  </si>
  <si>
    <t>(Water, Sewer and Street - not sure on breakdown yet - all under water)</t>
  </si>
  <si>
    <t>*Moved all infrastructure funds to Streets for 2019 Streets Project</t>
  </si>
  <si>
    <t>615-00000-915</t>
  </si>
  <si>
    <t>Transfer to 615 (Electric) to Balance</t>
  </si>
  <si>
    <t>620-00000-304</t>
  </si>
  <si>
    <t>620-00000-551</t>
  </si>
  <si>
    <t>101-11300-551</t>
  </si>
  <si>
    <t>101-12100-32500</t>
  </si>
  <si>
    <t>101-12100-550</t>
  </si>
  <si>
    <t>Current Balance</t>
  </si>
  <si>
    <t>101-12100-39000</t>
  </si>
  <si>
    <t>Transfer In (Vehicle Replacement)</t>
  </si>
  <si>
    <t>Transfer In (Vehicle Replacement Fund)</t>
  </si>
  <si>
    <t>270-00000-36100</t>
  </si>
  <si>
    <t>Truck Restricted</t>
  </si>
  <si>
    <t>Turn Out Gear Restricted</t>
  </si>
  <si>
    <t>Turn Out Gear Purchase</t>
  </si>
  <si>
    <t>Purchases</t>
  </si>
  <si>
    <t>CURRENT BALANCE</t>
  </si>
  <si>
    <t>101-11300-32900</t>
  </si>
  <si>
    <t>101-11300-36700</t>
  </si>
  <si>
    <t>Misc Rev - Service Charge</t>
  </si>
  <si>
    <t>101-11300-36200</t>
  </si>
  <si>
    <t>Rents (Hanson House)</t>
  </si>
  <si>
    <t>101-11300-371</t>
  </si>
  <si>
    <t>101-12100-948</t>
  </si>
  <si>
    <t>405-00000-32300</t>
  </si>
  <si>
    <t>Inter Govt State Grants</t>
  </si>
  <si>
    <t>101-13100-36600</t>
  </si>
  <si>
    <t>Misc Rev - Special Assessments</t>
  </si>
  <si>
    <t>City Portion: $6,366.22</t>
  </si>
  <si>
    <t>Cash on hand Jan 1, 2020</t>
  </si>
  <si>
    <t>Less Purchases 2020</t>
  </si>
  <si>
    <t>Plus Vehicle Sales/Interest 2020</t>
  </si>
  <si>
    <t>TOTAL YTD 2020</t>
  </si>
  <si>
    <t>2021 Projects</t>
  </si>
  <si>
    <t>Diamond Bright</t>
  </si>
  <si>
    <t>Border Rails</t>
  </si>
  <si>
    <t>Removal of blue cushions</t>
  </si>
  <si>
    <t>615-00000-129</t>
  </si>
  <si>
    <t>GERF Liability</t>
  </si>
  <si>
    <t>615-00000-555</t>
  </si>
  <si>
    <t>Depreciation</t>
  </si>
  <si>
    <t>2022 Projects</t>
  </si>
  <si>
    <t>620-00000-35600</t>
  </si>
  <si>
    <t>Utility Sales/Service - Turn On/Off</t>
  </si>
  <si>
    <t>620-00000-129</t>
  </si>
  <si>
    <t>620-00000-555</t>
  </si>
  <si>
    <t>620-00000-904</t>
  </si>
  <si>
    <t>625-00000-129</t>
  </si>
  <si>
    <t>625-00000-921</t>
  </si>
  <si>
    <t>Depreciation Expense</t>
  </si>
  <si>
    <t>650-00000-129</t>
  </si>
  <si>
    <t>650-00000-450</t>
  </si>
  <si>
    <t>Developer Payments (32300)</t>
  </si>
  <si>
    <t>Refund and Reimbursements</t>
  </si>
  <si>
    <t xml:space="preserve">Misc Revenue - Contributions </t>
  </si>
  <si>
    <t>BUDGET</t>
  </si>
  <si>
    <t>101-11100-30102</t>
  </si>
  <si>
    <t>Local Govt Aid - General</t>
  </si>
  <si>
    <t>101-12200-30302</t>
  </si>
  <si>
    <t>101-13100-915</t>
  </si>
  <si>
    <t>101-14100-33200</t>
  </si>
  <si>
    <t>Charges for Services - Camping</t>
  </si>
  <si>
    <t>Net at Baseball Field - $1,500 (Used on batting cages instead)</t>
  </si>
  <si>
    <t>101-14300-211</t>
  </si>
  <si>
    <t>Actual Taxes: $15,915.55</t>
  </si>
  <si>
    <t>Actual Taxes: $15,580.13</t>
  </si>
  <si>
    <t>City Portion: $3,895.03</t>
  </si>
  <si>
    <t xml:space="preserve">Actual Taxes: </t>
  </si>
  <si>
    <t xml:space="preserve">City Portion: </t>
  </si>
  <si>
    <t>Balance as of 07/22/20 - $10,232.04</t>
  </si>
  <si>
    <t>620-00000-915</t>
  </si>
  <si>
    <t>625-00000-915</t>
  </si>
  <si>
    <t>2021 Purchases</t>
  </si>
  <si>
    <t>Online Licensing</t>
  </si>
  <si>
    <t>Programming (Sports)</t>
  </si>
  <si>
    <t>5 Pincic Tables for Overnight Parking - $4500 ($900 each)</t>
  </si>
  <si>
    <t>11400 COVID</t>
  </si>
  <si>
    <t>101-11400-32900</t>
  </si>
  <si>
    <t>101-11400-101</t>
  </si>
  <si>
    <t>101-11400-103</t>
  </si>
  <si>
    <t>Full Time (Regular)</t>
  </si>
  <si>
    <t>Part Time (Regular)</t>
  </si>
  <si>
    <t>101-11400-142</t>
  </si>
  <si>
    <t>UC Benefit Payment</t>
  </si>
  <si>
    <t>Employer Paid Insurance</t>
  </si>
  <si>
    <t>101-11400-205</t>
  </si>
  <si>
    <t>101-11400-211</t>
  </si>
  <si>
    <t>101-11400-226</t>
  </si>
  <si>
    <t>101-11400-309</t>
  </si>
  <si>
    <t>101-12200-303</t>
  </si>
  <si>
    <t>Engineerimg</t>
  </si>
  <si>
    <t>101-13100-36502</t>
  </si>
  <si>
    <t>1st St SW - $770,000 (water main, sewer, streets)</t>
  </si>
  <si>
    <t>Aug YTD</t>
  </si>
  <si>
    <t>Hoop shed for sand - $15,000</t>
  </si>
  <si>
    <t>New Loader - $20,000</t>
  </si>
  <si>
    <t>Solar Speed Limit Sign - $9,000</t>
  </si>
  <si>
    <t>Bury old pool - $10,000</t>
  </si>
  <si>
    <t>New Kitchen Cabinets</t>
  </si>
  <si>
    <t>New Kitchen Floor</t>
  </si>
  <si>
    <t>Purchase for 2021</t>
  </si>
  <si>
    <t>Loader</t>
  </si>
  <si>
    <t>460-00000-311</t>
  </si>
  <si>
    <t>Less Expenses (transfers to 625)</t>
  </si>
  <si>
    <t>Handheld</t>
  </si>
  <si>
    <t>Auto Water Reads</t>
  </si>
  <si>
    <t>Underground Wire 5thAve NW</t>
  </si>
  <si>
    <t>Main Street Lights</t>
  </si>
  <si>
    <t>Painting Curbs, Crosswalks, Parking Lanes, and Spots (City Hall/Bank) - $6,000</t>
  </si>
  <si>
    <t>Bond Principal (Water Tower)</t>
  </si>
  <si>
    <t>Bond Interest (Water Tower)</t>
  </si>
  <si>
    <t>Pump for unleaded gas</t>
  </si>
  <si>
    <t>Transfer to water fund</t>
  </si>
  <si>
    <t>Filter Tanks/Sand</t>
  </si>
  <si>
    <t>Unbrellas</t>
  </si>
  <si>
    <t>Solid Hauling - $5,000</t>
  </si>
  <si>
    <t>Storm Sewer Pipe 1st Ave SW - $10,000</t>
  </si>
  <si>
    <t>*2021 Budgeting per Mike Bubany.  Once payoff is made, all funds can be transferred to 325</t>
  </si>
  <si>
    <t>(Refunded 2020)</t>
  </si>
  <si>
    <t>Fund 325 GO REFUND BOND 2020B</t>
  </si>
  <si>
    <t>*2021 Budget per Mike B</t>
  </si>
  <si>
    <t>Refunded to 325</t>
  </si>
  <si>
    <t>New Bond (315/354)</t>
  </si>
  <si>
    <t>(Fund 325)</t>
  </si>
  <si>
    <t>Bender/Nerstad TIF Refinance (Fund 319)</t>
  </si>
  <si>
    <t>Refunded 2020B (Fund 325)</t>
  </si>
  <si>
    <t>Miscellaneous Revenue - Other/</t>
  </si>
  <si>
    <t>Miscellaneous revenue - Bond Proceeds</t>
  </si>
  <si>
    <t>Nov YTD</t>
  </si>
  <si>
    <t>101-11100-36500</t>
  </si>
  <si>
    <t>NOV YTD</t>
  </si>
  <si>
    <t>Capital Expenses</t>
  </si>
  <si>
    <t>101-11400-560</t>
  </si>
  <si>
    <t>Repair and Maintenance Contractual</t>
  </si>
  <si>
    <t>101-11400-902</t>
  </si>
  <si>
    <t>101-13100-211</t>
  </si>
  <si>
    <t>101-13100-946</t>
  </si>
  <si>
    <t>101-14100-222</t>
  </si>
  <si>
    <t>Mower Deck - $2500</t>
  </si>
  <si>
    <t>Curbs, alleyways and driveways - $10,000 (change from $20,000)</t>
  </si>
  <si>
    <t>Mill, Overlay, Water Main NE section by hospital - $160,000 (change from $150,000)</t>
  </si>
  <si>
    <t>Net Behind Home Plate - $1500 (wasn't budgeted for)</t>
  </si>
  <si>
    <t>Balance as of 11/01/20 - $5,458.55</t>
  </si>
  <si>
    <t>615-00000-224</t>
  </si>
  <si>
    <t>Excess TIF</t>
  </si>
  <si>
    <t>Excess TIF District</t>
  </si>
  <si>
    <t>BALANCE AS OF 11/01/20:</t>
  </si>
  <si>
    <t>FUND BALANCE AS OF 11/01/20:</t>
  </si>
  <si>
    <t>295-00000-39000</t>
  </si>
  <si>
    <t>Transfer In (Cares Act Funds)</t>
  </si>
  <si>
    <t>295-00000-520</t>
  </si>
  <si>
    <t>Building Purchase</t>
  </si>
  <si>
    <t>FUND BALANCE AS OF 11/01/20: $12956.87</t>
  </si>
  <si>
    <t>*Will be a small surplus due to the principal payment made on the bond ($20,000)</t>
  </si>
  <si>
    <t xml:space="preserve">Refunded Bond </t>
  </si>
  <si>
    <t>*Increase to balance water budget</t>
  </si>
  <si>
    <t>Bond Principal (Refunded Bond)</t>
  </si>
  <si>
    <t>Bond Interest (Refunded Bond)</t>
  </si>
  <si>
    <t>Charges for Service - Overnight Parking</t>
  </si>
  <si>
    <t>Hoop Shed for Sand - $15,000</t>
  </si>
  <si>
    <t>Solar Speed Signs - $9,000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</si>
</sst>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&quot;$&quot;#,##0.00"/>
    <numFmt numFmtId="169" formatCode="_(&quot;$&quot;* #,##0.0_);_(&quot;$&quot;* \(#,##0.0\);_(&quot;$&quot;* &quot;-&quot;??_);_(@_)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800080"/>
      <name val="Arial"/>
      <family val="2"/>
    </font>
    <font>
      <sz val="10"/>
      <color rgb="FF800080"/>
      <name val="Arial"/>
      <family val="2"/>
    </font>
    <font>
      <sz val="10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sz val="10"/>
      <color theme="7" tint="-0.249977111117893"/>
      <name val="Arial"/>
      <family val="2"/>
    </font>
    <font>
      <sz val="10"/>
      <name val="Arial"/>
      <family val="2"/>
    </font>
    <font>
      <b/>
      <sz val="12"/>
      <color rgb="FF7030A0"/>
      <name val="Arial"/>
      <family val="2"/>
    </font>
    <font>
      <b/>
      <sz val="12"/>
      <color rgb="FF800080"/>
      <name val="Arial"/>
      <family val="2"/>
    </font>
    <font>
      <sz val="12"/>
      <color rgb="FF7030A0"/>
      <name val="Arial"/>
      <family val="2"/>
    </font>
    <font>
      <b/>
      <sz val="12"/>
      <color theme="7"/>
      <name val="Arial"/>
      <family val="2"/>
    </font>
    <font>
      <sz val="12"/>
      <color rgb="FF00206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b/>
      <sz val="11"/>
      <color rgb="FFFF0000"/>
      <name val="Arial"/>
      <family val="2"/>
    </font>
    <font>
      <strike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trike/>
      <sz val="10"/>
      <color rgb="FFFF0000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5" fontId="0" fillId="0" borderId="0" xfId="1" applyNumberFormat="1" applyFont="1"/>
    <xf numFmtId="0" fontId="4" fillId="0" borderId="0" xfId="0" applyFont="1"/>
    <xf numFmtId="0" fontId="5" fillId="0" borderId="0" xfId="0" applyFont="1"/>
    <xf numFmtId="165" fontId="0" fillId="0" borderId="4" xfId="1" applyNumberFormat="1" applyFont="1" applyBorder="1"/>
    <xf numFmtId="165" fontId="0" fillId="0" borderId="0" xfId="1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/>
    <xf numFmtId="0" fontId="6" fillId="0" borderId="0" xfId="0" applyFont="1"/>
    <xf numFmtId="165" fontId="4" fillId="0" borderId="0" xfId="1" applyNumberFormat="1" applyFont="1"/>
    <xf numFmtId="165" fontId="0" fillId="0" borderId="0" xfId="0" applyNumberFormat="1"/>
    <xf numFmtId="165" fontId="4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4" xfId="1" applyNumberFormat="1" applyFont="1" applyFill="1" applyBorder="1"/>
    <xf numFmtId="165" fontId="0" fillId="0" borderId="4" xfId="1" applyNumberFormat="1" applyFont="1" applyFill="1" applyBorder="1"/>
    <xf numFmtId="165" fontId="8" fillId="0" borderId="4" xfId="1" applyNumberFormat="1" applyFont="1" applyFill="1" applyBorder="1"/>
    <xf numFmtId="166" fontId="0" fillId="0" borderId="0" xfId="2" applyNumberFormat="1" applyFont="1" applyFill="1"/>
    <xf numFmtId="165" fontId="8" fillId="0" borderId="0" xfId="1" applyNumberFormat="1" applyFont="1" applyFill="1"/>
    <xf numFmtId="165" fontId="0" fillId="0" borderId="0" xfId="1" applyNumberFormat="1" applyFont="1" applyFill="1"/>
    <xf numFmtId="165" fontId="1" fillId="0" borderId="0" xfId="1" applyNumberFormat="1" applyFont="1" applyFill="1"/>
    <xf numFmtId="0" fontId="1" fillId="0" borderId="0" xfId="0" applyFont="1" applyAlignment="1">
      <alignment horizontal="center"/>
    </xf>
    <xf numFmtId="0" fontId="9" fillId="0" borderId="0" xfId="0" applyFont="1"/>
    <xf numFmtId="166" fontId="1" fillId="0" borderId="0" xfId="2" applyNumberFormat="1" applyFont="1" applyFill="1"/>
    <xf numFmtId="0" fontId="11" fillId="0" borderId="0" xfId="0" applyFont="1"/>
    <xf numFmtId="0" fontId="12" fillId="0" borderId="0" xfId="0" applyFont="1"/>
    <xf numFmtId="165" fontId="13" fillId="0" borderId="0" xfId="1" applyNumberFormat="1" applyFont="1"/>
    <xf numFmtId="165" fontId="13" fillId="0" borderId="0" xfId="1" applyNumberFormat="1" applyFont="1" applyFill="1"/>
    <xf numFmtId="0" fontId="3" fillId="0" borderId="0" xfId="0" applyFont="1"/>
    <xf numFmtId="0" fontId="16" fillId="0" borderId="0" xfId="0" applyFont="1"/>
    <xf numFmtId="165" fontId="16" fillId="0" borderId="0" xfId="1" applyNumberFormat="1" applyFont="1"/>
    <xf numFmtId="9" fontId="17" fillId="0" borderId="0" xfId="0" applyNumberFormat="1" applyFont="1"/>
    <xf numFmtId="0" fontId="17" fillId="0" borderId="0" xfId="0" applyFont="1"/>
    <xf numFmtId="14" fontId="1" fillId="0" borderId="0" xfId="0" applyNumberFormat="1" applyFont="1" applyAlignment="1">
      <alignment horizontal="center"/>
    </xf>
    <xf numFmtId="165" fontId="1" fillId="0" borderId="0" xfId="1" applyNumberFormat="1" applyFont="1"/>
    <xf numFmtId="165" fontId="18" fillId="0" borderId="0" xfId="1" applyNumberFormat="1" applyFont="1"/>
    <xf numFmtId="0" fontId="3" fillId="0" borderId="4" xfId="0" applyFont="1" applyBorder="1"/>
    <xf numFmtId="164" fontId="10" fillId="0" borderId="6" xfId="0" applyNumberFormat="1" applyFont="1" applyBorder="1"/>
    <xf numFmtId="0" fontId="10" fillId="0" borderId="7" xfId="0" applyFont="1" applyBorder="1"/>
    <xf numFmtId="0" fontId="1" fillId="0" borderId="0" xfId="0" applyFont="1" applyAlignment="1">
      <alignment horizontal="left"/>
    </xf>
    <xf numFmtId="165" fontId="9" fillId="0" borderId="0" xfId="1" applyNumberFormat="1" applyFont="1"/>
    <xf numFmtId="165" fontId="9" fillId="0" borderId="7" xfId="1" applyNumberFormat="1" applyFont="1" applyBorder="1"/>
    <xf numFmtId="165" fontId="1" fillId="0" borderId="0" xfId="0" applyNumberFormat="1" applyFont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4" xfId="0" applyNumberFormat="1" applyBorder="1"/>
    <xf numFmtId="0" fontId="1" fillId="0" borderId="7" xfId="0" applyFont="1" applyBorder="1"/>
    <xf numFmtId="0" fontId="1" fillId="0" borderId="4" xfId="0" applyFont="1" applyBorder="1"/>
    <xf numFmtId="165" fontId="1" fillId="0" borderId="4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14" fontId="3" fillId="0" borderId="0" xfId="0" applyNumberFormat="1" applyFont="1"/>
    <xf numFmtId="165" fontId="17" fillId="0" borderId="0" xfId="0" applyNumberFormat="1" applyFont="1"/>
    <xf numFmtId="9" fontId="16" fillId="0" borderId="0" xfId="2" applyFont="1"/>
    <xf numFmtId="0" fontId="0" fillId="0" borderId="4" xfId="0" applyBorder="1" applyAlignment="1">
      <alignment horizontal="center"/>
    </xf>
    <xf numFmtId="6" fontId="0" fillId="0" borderId="6" xfId="0" applyNumberForma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6" fontId="0" fillId="0" borderId="0" xfId="0" applyNumberFormat="1" applyAlignment="1">
      <alignment horizontal="center"/>
    </xf>
    <xf numFmtId="167" fontId="0" fillId="0" borderId="0" xfId="1" applyNumberFormat="1" applyFont="1" applyBorder="1" applyAlignment="1">
      <alignment horizontal="center" vertical="center"/>
    </xf>
    <xf numFmtId="166" fontId="3" fillId="0" borderId="0" xfId="2" applyNumberFormat="1" applyFont="1" applyBorder="1"/>
    <xf numFmtId="166" fontId="3" fillId="0" borderId="1" xfId="2" applyNumberFormat="1" applyFont="1" applyBorder="1"/>
    <xf numFmtId="165" fontId="1" fillId="0" borderId="4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left"/>
    </xf>
    <xf numFmtId="165" fontId="3" fillId="0" borderId="0" xfId="1" applyNumberFormat="1" applyFont="1"/>
    <xf numFmtId="43" fontId="1" fillId="0" borderId="0" xfId="3" applyFont="1"/>
    <xf numFmtId="0" fontId="0" fillId="0" borderId="0" xfId="0" applyAlignment="1">
      <alignment horizontal="left"/>
    </xf>
    <xf numFmtId="165" fontId="20" fillId="0" borderId="0" xfId="1" applyNumberFormat="1" applyFont="1" applyFill="1"/>
    <xf numFmtId="0" fontId="21" fillId="0" borderId="0" xfId="0" applyFont="1"/>
    <xf numFmtId="165" fontId="22" fillId="0" borderId="0" xfId="0" applyNumberFormat="1" applyFont="1"/>
    <xf numFmtId="165" fontId="22" fillId="0" borderId="7" xfId="1" applyNumberFormat="1" applyFont="1" applyBorder="1"/>
    <xf numFmtId="0" fontId="22" fillId="0" borderId="0" xfId="0" applyFont="1"/>
    <xf numFmtId="9" fontId="9" fillId="0" borderId="0" xfId="2" applyFont="1" applyFill="1"/>
    <xf numFmtId="0" fontId="23" fillId="0" borderId="0" xfId="0" applyFont="1"/>
    <xf numFmtId="0" fontId="24" fillId="0" borderId="0" xfId="0" applyFont="1"/>
    <xf numFmtId="165" fontId="9" fillId="0" borderId="0" xfId="1" applyNumberFormat="1" applyFont="1" applyFill="1"/>
    <xf numFmtId="0" fontId="3" fillId="0" borderId="0" xfId="0" applyFont="1" applyAlignment="1">
      <alignment horizontal="right"/>
    </xf>
    <xf numFmtId="43" fontId="0" fillId="0" borderId="0" xfId="0" applyNumberFormat="1"/>
    <xf numFmtId="43" fontId="1" fillId="0" borderId="0" xfId="0" applyNumberFormat="1" applyFont="1"/>
    <xf numFmtId="165" fontId="9" fillId="2" borderId="0" xfId="1" applyNumberFormat="1" applyFont="1" applyFill="1"/>
    <xf numFmtId="165" fontId="9" fillId="3" borderId="0" xfId="1" applyNumberFormat="1" applyFont="1" applyFill="1"/>
    <xf numFmtId="165" fontId="3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center"/>
    </xf>
    <xf numFmtId="165" fontId="1" fillId="3" borderId="0" xfId="1" applyNumberFormat="1" applyFont="1" applyFill="1"/>
    <xf numFmtId="165" fontId="0" fillId="3" borderId="0" xfId="1" applyNumberFormat="1" applyFont="1" applyFill="1"/>
    <xf numFmtId="165" fontId="11" fillId="3" borderId="4" xfId="1" applyNumberFormat="1" applyFont="1" applyFill="1" applyBorder="1"/>
    <xf numFmtId="0" fontId="1" fillId="0" borderId="0" xfId="4"/>
    <xf numFmtId="168" fontId="1" fillId="0" borderId="0" xfId="4" applyNumberFormat="1" applyAlignment="1">
      <alignment horizontal="center"/>
    </xf>
    <xf numFmtId="168" fontId="1" fillId="0" borderId="0" xfId="4" applyNumberFormat="1" applyAlignment="1">
      <alignment horizontal="left"/>
    </xf>
    <xf numFmtId="168" fontId="10" fillId="0" borderId="0" xfId="4" applyNumberFormat="1" applyFont="1" applyAlignment="1">
      <alignment horizontal="center"/>
    </xf>
    <xf numFmtId="0" fontId="26" fillId="0" borderId="0" xfId="0" applyFont="1" applyAlignment="1">
      <alignment vertical="center"/>
    </xf>
    <xf numFmtId="165" fontId="4" fillId="0" borderId="0" xfId="1" applyNumberFormat="1" applyFont="1" applyAlignment="1">
      <alignment horizontal="right"/>
    </xf>
    <xf numFmtId="8" fontId="0" fillId="0" borderId="0" xfId="0" applyNumberFormat="1" applyAlignment="1">
      <alignment horizontal="center"/>
    </xf>
    <xf numFmtId="44" fontId="1" fillId="0" borderId="0" xfId="1" applyFont="1" applyAlignment="1"/>
    <xf numFmtId="0" fontId="27" fillId="0" borderId="0" xfId="0" applyFont="1" applyAlignment="1">
      <alignment horizontal="center"/>
    </xf>
    <xf numFmtId="164" fontId="17" fillId="0" borderId="0" xfId="0" applyNumberFormat="1" applyFont="1"/>
    <xf numFmtId="0" fontId="1" fillId="3" borderId="0" xfId="0" applyFont="1" applyFill="1"/>
    <xf numFmtId="168" fontId="25" fillId="0" borderId="0" xfId="4" applyNumberFormat="1" applyFont="1" applyAlignment="1">
      <alignment horizontal="left"/>
    </xf>
    <xf numFmtId="165" fontId="22" fillId="3" borderId="0" xfId="0" applyNumberFormat="1" applyFont="1" applyFill="1"/>
    <xf numFmtId="0" fontId="1" fillId="0" borderId="7" xfId="0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165" fontId="1" fillId="3" borderId="0" xfId="1" applyNumberFormat="1" applyFont="1" applyFill="1" applyAlignment="1">
      <alignment horizontal="right"/>
    </xf>
    <xf numFmtId="0" fontId="0" fillId="3" borderId="0" xfId="0" applyFill="1"/>
    <xf numFmtId="6" fontId="0" fillId="0" borderId="0" xfId="0" applyNumberFormat="1" applyAlignment="1">
      <alignment horizontal="left"/>
    </xf>
    <xf numFmtId="6" fontId="1" fillId="0" borderId="0" xfId="1" applyNumberFormat="1" applyFont="1" applyAlignment="1">
      <alignment horizontal="left" vertical="top"/>
    </xf>
    <xf numFmtId="0" fontId="28" fillId="0" borderId="0" xfId="0" applyFont="1"/>
    <xf numFmtId="165" fontId="1" fillId="0" borderId="0" xfId="1" applyNumberFormat="1" applyFont="1" applyBorder="1"/>
    <xf numFmtId="44" fontId="1" fillId="0" borderId="0" xfId="1" applyFont="1"/>
    <xf numFmtId="165" fontId="0" fillId="0" borderId="0" xfId="0" applyNumberFormat="1" applyAlignment="1">
      <alignment horizontal="right"/>
    </xf>
    <xf numFmtId="165" fontId="4" fillId="0" borderId="0" xfId="0" applyNumberFormat="1" applyFont="1"/>
    <xf numFmtId="0" fontId="29" fillId="0" borderId="0" xfId="0" applyFont="1"/>
    <xf numFmtId="0" fontId="29" fillId="0" borderId="0" xfId="4" applyFont="1"/>
    <xf numFmtId="6" fontId="1" fillId="0" borderId="0" xfId="0" quotePrefix="1" applyNumberFormat="1" applyFont="1"/>
    <xf numFmtId="6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6" fontId="1" fillId="0" borderId="0" xfId="0" applyNumberFormat="1" applyFont="1" applyAlignment="1">
      <alignment horizontal="center"/>
    </xf>
    <xf numFmtId="165" fontId="1" fillId="0" borderId="0" xfId="1" applyNumberFormat="1" applyFont="1" applyFill="1" applyAlignment="1">
      <alignment horizontal="left"/>
    </xf>
    <xf numFmtId="0" fontId="31" fillId="0" borderId="0" xfId="0" applyFont="1"/>
    <xf numFmtId="165" fontId="0" fillId="3" borderId="0" xfId="1" applyNumberFormat="1" applyFont="1" applyFill="1" applyBorder="1"/>
    <xf numFmtId="165" fontId="0" fillId="2" borderId="0" xfId="1" applyNumberFormat="1" applyFont="1" applyFill="1"/>
    <xf numFmtId="165" fontId="0" fillId="0" borderId="0" xfId="1" applyNumberFormat="1" applyFont="1" applyAlignment="1">
      <alignment horizontal="center"/>
    </xf>
    <xf numFmtId="168" fontId="27" fillId="0" borderId="0" xfId="4" applyNumberFormat="1" applyFont="1" applyAlignment="1">
      <alignment horizontal="center"/>
    </xf>
    <xf numFmtId="6" fontId="29" fillId="0" borderId="0" xfId="0" quotePrefix="1" applyNumberFormat="1" applyFont="1"/>
    <xf numFmtId="6" fontId="0" fillId="0" borderId="0" xfId="0" applyNumberFormat="1"/>
    <xf numFmtId="167" fontId="1" fillId="0" borderId="0" xfId="4" applyNumberFormat="1" applyAlignment="1">
      <alignment horizontal="right"/>
    </xf>
    <xf numFmtId="165" fontId="1" fillId="0" borderId="0" xfId="1" applyNumberFormat="1" applyFont="1" applyFill="1" applyAlignment="1"/>
    <xf numFmtId="168" fontId="1" fillId="3" borderId="0" xfId="4" applyNumberFormat="1" applyFill="1" applyAlignment="1">
      <alignment horizontal="left"/>
    </xf>
    <xf numFmtId="165" fontId="29" fillId="0" borderId="0" xfId="1" applyNumberFormat="1" applyFont="1"/>
    <xf numFmtId="165" fontId="11" fillId="0" borderId="4" xfId="1" applyNumberFormat="1" applyFont="1" applyFill="1" applyBorder="1"/>
    <xf numFmtId="0" fontId="26" fillId="0" borderId="0" xfId="0" applyFont="1"/>
    <xf numFmtId="165" fontId="3" fillId="0" borderId="0" xfId="0" applyNumberFormat="1" applyFont="1"/>
    <xf numFmtId="165" fontId="1" fillId="0" borderId="7" xfId="1" applyNumberFormat="1" applyFont="1" applyBorder="1"/>
    <xf numFmtId="44" fontId="0" fillId="0" borderId="0" xfId="0" applyNumberFormat="1"/>
    <xf numFmtId="44" fontId="0" fillId="0" borderId="7" xfId="1" applyFont="1" applyBorder="1"/>
    <xf numFmtId="44" fontId="0" fillId="0" borderId="0" xfId="1" applyFont="1" applyBorder="1"/>
    <xf numFmtId="44" fontId="3" fillId="0" borderId="0" xfId="1" applyFont="1" applyAlignment="1">
      <alignment horizontal="right"/>
    </xf>
    <xf numFmtId="165" fontId="4" fillId="0" borderId="0" xfId="1" applyNumberFormat="1" applyFont="1" applyFill="1"/>
    <xf numFmtId="8" fontId="0" fillId="0" borderId="0" xfId="0" applyNumberFormat="1"/>
    <xf numFmtId="44" fontId="1" fillId="0" borderId="0" xfId="1" applyFont="1" applyAlignment="1">
      <alignment horizontal="right"/>
    </xf>
    <xf numFmtId="169" fontId="0" fillId="0" borderId="0" xfId="1" applyNumberFormat="1" applyFont="1"/>
    <xf numFmtId="44" fontId="6" fillId="0" borderId="0" xfId="1" applyFont="1"/>
    <xf numFmtId="44" fontId="6" fillId="0" borderId="0" xfId="0" applyNumberFormat="1" applyFont="1"/>
    <xf numFmtId="0" fontId="0" fillId="0" borderId="0" xfId="3" applyNumberFormat="1" applyFont="1"/>
    <xf numFmtId="0" fontId="1" fillId="0" borderId="0" xfId="3" applyNumberFormat="1" applyFont="1"/>
    <xf numFmtId="165" fontId="0" fillId="0" borderId="0" xfId="1" applyNumberFormat="1" applyFont="1" applyFill="1" applyBorder="1"/>
    <xf numFmtId="0" fontId="32" fillId="0" borderId="0" xfId="0" applyFont="1"/>
  </cellXfs>
  <cellStyles count="6">
    <cellStyle name="Comma" xfId="3" builtinId="3"/>
    <cellStyle name="Comma 2" xfId="5" xr:uid="{00000000-0005-0000-0000-000001000000}"/>
    <cellStyle name="Currency" xfId="1" builtinId="4"/>
    <cellStyle name="Normal" xfId="0" builtinId="0"/>
    <cellStyle name="Normal 2" xfId="4" xr:uid="{00000000-0005-0000-0000-000004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Normal="100" workbookViewId="0">
      <selection activeCell="M26" sqref="M26"/>
    </sheetView>
  </sheetViews>
  <sheetFormatPr defaultRowHeight="13.2" x14ac:dyDescent="0.25"/>
  <cols>
    <col min="1" max="1" width="12.6640625" customWidth="1"/>
    <col min="5" max="5" width="12.33203125" bestFit="1" customWidth="1"/>
    <col min="6" max="6" width="34.5546875" customWidth="1"/>
    <col min="7" max="7" width="9.109375" hidden="1" customWidth="1"/>
    <col min="8" max="8" width="6.5546875" customWidth="1"/>
    <col min="9" max="9" width="0.44140625" customWidth="1"/>
    <col min="10" max="10" width="13.88671875" customWidth="1"/>
    <col min="11" max="11" width="19.33203125" customWidth="1"/>
    <col min="12" max="12" width="9.109375" customWidth="1"/>
    <col min="13" max="13" width="17.44140625" customWidth="1"/>
  </cols>
  <sheetData>
    <row r="1" spans="1:14" ht="15.6" x14ac:dyDescent="0.3">
      <c r="A1" s="11" t="s">
        <v>200</v>
      </c>
      <c r="E1" s="11">
        <v>2021</v>
      </c>
      <c r="F1" s="11" t="s">
        <v>486</v>
      </c>
    </row>
    <row r="3" spans="1:14" ht="12.75" customHeight="1" x14ac:dyDescent="0.3">
      <c r="A3" s="2" t="s">
        <v>201</v>
      </c>
      <c r="B3" s="3"/>
      <c r="C3" s="3"/>
      <c r="D3" s="3"/>
      <c r="E3" s="3"/>
      <c r="F3" s="3"/>
      <c r="G3" s="3"/>
      <c r="H3" s="4"/>
      <c r="J3" s="82">
        <f>A6</f>
        <v>386261</v>
      </c>
      <c r="K3" s="83" t="s">
        <v>802</v>
      </c>
      <c r="L3" s="39"/>
      <c r="M3" s="80"/>
    </row>
    <row r="4" spans="1:14" ht="12.75" customHeight="1" x14ac:dyDescent="0.3">
      <c r="A4" s="5" t="s">
        <v>76</v>
      </c>
      <c r="E4" t="s">
        <v>77</v>
      </c>
      <c r="H4" s="6" t="s">
        <v>769</v>
      </c>
      <c r="J4" s="84">
        <f>A33</f>
        <v>140739</v>
      </c>
      <c r="K4" s="83" t="s">
        <v>803</v>
      </c>
      <c r="L4" s="37"/>
      <c r="M4" s="80"/>
    </row>
    <row r="5" spans="1:14" ht="12.75" customHeight="1" x14ac:dyDescent="0.3">
      <c r="D5" s="40"/>
      <c r="H5" s="6"/>
      <c r="J5" s="85">
        <v>103000</v>
      </c>
      <c r="K5" s="83" t="s">
        <v>804</v>
      </c>
      <c r="L5" s="37"/>
      <c r="M5" s="80"/>
    </row>
    <row r="6" spans="1:14" ht="12.75" customHeight="1" x14ac:dyDescent="0.3">
      <c r="A6" s="144">
        <v>386261</v>
      </c>
      <c r="B6" s="39" t="s">
        <v>60</v>
      </c>
      <c r="C6" s="40"/>
      <c r="D6" s="40"/>
      <c r="E6" s="34">
        <f>Elections!D19</f>
        <v>0</v>
      </c>
      <c r="F6" t="s">
        <v>644</v>
      </c>
      <c r="H6" s="6">
        <v>11100</v>
      </c>
      <c r="J6" s="86"/>
      <c r="K6" s="83"/>
      <c r="L6" s="37"/>
      <c r="M6" s="80"/>
    </row>
    <row r="7" spans="1:14" ht="12.75" customHeight="1" x14ac:dyDescent="0.3">
      <c r="A7" s="144">
        <f>'General Fund Revenues'!C4</f>
        <v>1725</v>
      </c>
      <c r="B7" s="39" t="s">
        <v>202</v>
      </c>
      <c r="C7" s="40"/>
      <c r="E7" s="34">
        <f>Council!C28</f>
        <v>16662</v>
      </c>
      <c r="F7" t="s">
        <v>62</v>
      </c>
      <c r="H7" s="6">
        <v>11200</v>
      </c>
      <c r="J7" s="114">
        <f>SUM(J3:J5)</f>
        <v>630000</v>
      </c>
      <c r="K7" s="83" t="s">
        <v>805</v>
      </c>
      <c r="L7" s="37"/>
      <c r="M7" s="24"/>
    </row>
    <row r="8" spans="1:14" ht="12.75" customHeight="1" x14ac:dyDescent="0.3">
      <c r="A8" s="5"/>
      <c r="E8" s="34">
        <f>Administration!C71</f>
        <v>414486.99449999997</v>
      </c>
      <c r="F8" t="s">
        <v>93</v>
      </c>
      <c r="H8" s="6">
        <v>11300</v>
      </c>
      <c r="J8" s="84">
        <v>630000</v>
      </c>
      <c r="K8" s="83" t="s">
        <v>1224</v>
      </c>
      <c r="L8" s="37"/>
      <c r="M8" s="24"/>
    </row>
    <row r="9" spans="1:14" ht="12.75" customHeight="1" x14ac:dyDescent="0.3">
      <c r="A9" s="30">
        <f>'General Fund Revenues'!C9</f>
        <v>458187</v>
      </c>
      <c r="B9" t="s">
        <v>735</v>
      </c>
      <c r="E9" s="34">
        <f>Police!C73</f>
        <v>362770.71600000001</v>
      </c>
      <c r="F9" t="s">
        <v>48</v>
      </c>
      <c r="H9" s="6">
        <v>12100</v>
      </c>
      <c r="J9" s="90"/>
      <c r="K9" s="88" t="s">
        <v>809</v>
      </c>
      <c r="L9" s="89"/>
      <c r="M9" s="44"/>
    </row>
    <row r="10" spans="1:14" ht="12.75" customHeight="1" x14ac:dyDescent="0.3">
      <c r="A10" s="30">
        <f>'General Fund Revenues'!C43</f>
        <v>227615</v>
      </c>
      <c r="B10" t="s">
        <v>800</v>
      </c>
      <c r="E10" s="34">
        <f>Fire!C72</f>
        <v>113477</v>
      </c>
      <c r="F10" t="s">
        <v>49</v>
      </c>
      <c r="H10" s="6">
        <v>12200</v>
      </c>
      <c r="J10" s="87">
        <f>J7/J8</f>
        <v>1</v>
      </c>
      <c r="K10" s="83" t="s">
        <v>807</v>
      </c>
      <c r="L10" s="89"/>
      <c r="M10" s="44"/>
    </row>
    <row r="11" spans="1:14" ht="12.75" customHeight="1" x14ac:dyDescent="0.3">
      <c r="A11" s="30"/>
      <c r="B11" t="s">
        <v>801</v>
      </c>
      <c r="E11" s="34">
        <f>Ambulance!C8</f>
        <v>8000</v>
      </c>
      <c r="F11" s="24" t="s">
        <v>744</v>
      </c>
      <c r="H11" s="6">
        <v>12300</v>
      </c>
      <c r="J11" s="87"/>
      <c r="K11" s="83"/>
      <c r="L11" s="89"/>
      <c r="M11" s="44"/>
    </row>
    <row r="12" spans="1:14" ht="12.75" customHeight="1" x14ac:dyDescent="0.25">
      <c r="A12" s="29">
        <v>522900</v>
      </c>
      <c r="B12" s="24" t="s">
        <v>808</v>
      </c>
      <c r="E12" s="34">
        <f>'Emergency Mgmt'!C9</f>
        <v>100</v>
      </c>
      <c r="F12" s="24" t="s">
        <v>657</v>
      </c>
      <c r="H12" s="6">
        <v>12500</v>
      </c>
      <c r="J12" s="32"/>
      <c r="K12" s="24"/>
      <c r="L12" s="89"/>
      <c r="M12" s="44"/>
    </row>
    <row r="13" spans="1:14" x14ac:dyDescent="0.25">
      <c r="A13" s="30">
        <v>70000</v>
      </c>
      <c r="B13" s="24" t="s">
        <v>872</v>
      </c>
      <c r="E13" s="34">
        <f>'Animal Control'!D7</f>
        <v>3500</v>
      </c>
      <c r="F13" s="10" t="s">
        <v>59</v>
      </c>
      <c r="H13" s="6">
        <v>12600</v>
      </c>
      <c r="J13" s="9"/>
      <c r="M13" s="44"/>
    </row>
    <row r="14" spans="1:14" x14ac:dyDescent="0.25">
      <c r="A14" s="30"/>
      <c r="E14" s="34">
        <f>Streets!D71</f>
        <v>337702.71759999997</v>
      </c>
      <c r="F14" t="s">
        <v>50</v>
      </c>
      <c r="H14" s="6">
        <v>13100</v>
      </c>
      <c r="J14" s="35"/>
      <c r="K14" s="68"/>
      <c r="L14" s="47"/>
      <c r="M14" s="47"/>
      <c r="N14" s="47"/>
    </row>
    <row r="15" spans="1:14" x14ac:dyDescent="0.25">
      <c r="A15" s="12"/>
      <c r="E15" s="34">
        <f>Parks!D55</f>
        <v>32800</v>
      </c>
      <c r="F15" t="s">
        <v>51</v>
      </c>
      <c r="H15" s="6">
        <v>14100</v>
      </c>
      <c r="J15" s="46"/>
      <c r="K15" s="67"/>
      <c r="L15" s="47"/>
      <c r="M15" s="47"/>
      <c r="N15" s="47"/>
    </row>
    <row r="16" spans="1:14" x14ac:dyDescent="0.25">
      <c r="A16" s="12"/>
      <c r="E16" s="34">
        <f>'SWIM Center'!D69</f>
        <v>202605</v>
      </c>
      <c r="F16" t="s">
        <v>768</v>
      </c>
      <c r="H16" s="6">
        <v>14200</v>
      </c>
      <c r="K16" s="57"/>
      <c r="L16" s="47"/>
      <c r="M16" s="111"/>
      <c r="N16" s="47"/>
    </row>
    <row r="17" spans="1:14" x14ac:dyDescent="0.25">
      <c r="A17" s="12"/>
      <c r="E17" s="9">
        <f>Recreation!D36</f>
        <v>13165</v>
      </c>
      <c r="F17" s="24" t="s">
        <v>751</v>
      </c>
      <c r="H17" s="6">
        <v>14300</v>
      </c>
      <c r="J17" s="9"/>
      <c r="K17" s="57"/>
      <c r="L17" s="24"/>
      <c r="M17" s="47"/>
      <c r="N17" s="24"/>
    </row>
    <row r="18" spans="1:14" x14ac:dyDescent="0.25">
      <c r="A18" s="12"/>
      <c r="E18" s="34">
        <f>'Old Pool'!D8</f>
        <v>300</v>
      </c>
      <c r="F18" s="10" t="s">
        <v>571</v>
      </c>
      <c r="H18" s="6">
        <v>14600</v>
      </c>
      <c r="M18" s="47"/>
    </row>
    <row r="19" spans="1:14" x14ac:dyDescent="0.25">
      <c r="A19" s="12"/>
      <c r="E19" s="100">
        <f>'Special Revenue Funds-Fest Bldg'!D48</f>
        <v>34356</v>
      </c>
      <c r="F19" t="s">
        <v>461</v>
      </c>
      <c r="H19" s="6">
        <v>270</v>
      </c>
      <c r="M19" s="47"/>
    </row>
    <row r="20" spans="1:14" x14ac:dyDescent="0.25">
      <c r="A20" s="12"/>
      <c r="E20" s="160">
        <f>EDA!C7</f>
        <v>75000</v>
      </c>
      <c r="F20" s="24" t="s">
        <v>790</v>
      </c>
      <c r="H20" s="6">
        <v>280</v>
      </c>
      <c r="M20" s="47"/>
    </row>
    <row r="21" spans="1:14" x14ac:dyDescent="0.25">
      <c r="A21" s="5"/>
      <c r="E21" s="9">
        <f>'Tax Abate LAX'!C7</f>
        <v>1725.33</v>
      </c>
      <c r="F21" s="24" t="s">
        <v>202</v>
      </c>
      <c r="H21" s="6">
        <v>316</v>
      </c>
      <c r="M21" s="47"/>
    </row>
    <row r="22" spans="1:14" x14ac:dyDescent="0.25">
      <c r="E22" s="13">
        <v>25000</v>
      </c>
      <c r="F22" s="24" t="s">
        <v>791</v>
      </c>
      <c r="H22" s="6">
        <v>435</v>
      </c>
      <c r="M22" s="47"/>
    </row>
    <row r="23" spans="1:14" x14ac:dyDescent="0.25">
      <c r="A23" s="12"/>
      <c r="E23" s="13">
        <v>25000</v>
      </c>
      <c r="F23" s="24" t="s">
        <v>736</v>
      </c>
      <c r="H23" s="6">
        <v>460</v>
      </c>
      <c r="M23" s="47"/>
    </row>
    <row r="24" spans="1:14" x14ac:dyDescent="0.25">
      <c r="A24" s="60"/>
      <c r="E24" s="134">
        <f>'TIF GO 2015 (319)'!F19</f>
        <v>0</v>
      </c>
      <c r="F24" s="24" t="s">
        <v>1136</v>
      </c>
      <c r="H24" s="6">
        <v>319</v>
      </c>
      <c r="M24" s="47"/>
    </row>
    <row r="25" spans="1:14" x14ac:dyDescent="0.25">
      <c r="A25" s="60"/>
      <c r="J25" s="45"/>
      <c r="K25" s="44"/>
      <c r="M25" s="47"/>
    </row>
    <row r="26" spans="1:14" x14ac:dyDescent="0.25">
      <c r="A26" s="60"/>
      <c r="E26" s="9"/>
      <c r="F26" s="24"/>
      <c r="H26" s="6"/>
      <c r="J26" s="35"/>
      <c r="K26" s="24"/>
      <c r="M26" s="92">
        <v>7</v>
      </c>
    </row>
    <row r="27" spans="1:14" s="24" customFormat="1" x14ac:dyDescent="0.25">
      <c r="A27" s="5"/>
      <c r="B27"/>
      <c r="C27"/>
      <c r="D27"/>
      <c r="E27" s="13"/>
      <c r="G27"/>
      <c r="H27" s="6"/>
      <c r="J27" s="33"/>
      <c r="K27"/>
      <c r="M27" s="93"/>
    </row>
    <row r="28" spans="1:14" x14ac:dyDescent="0.25">
      <c r="A28" s="29">
        <f>SUM(A6:A27)</f>
        <v>1666688</v>
      </c>
      <c r="B28" t="s">
        <v>61</v>
      </c>
      <c r="E28" s="13">
        <f>SUM(E6:E27)</f>
        <v>1666650.7581000002</v>
      </c>
      <c r="F28" s="81" t="s">
        <v>63</v>
      </c>
      <c r="H28" s="6"/>
      <c r="J28" s="34"/>
      <c r="M28" s="92"/>
    </row>
    <row r="29" spans="1:14" x14ac:dyDescent="0.25">
      <c r="A29" s="31"/>
      <c r="H29" s="6"/>
      <c r="J29" s="38"/>
    </row>
    <row r="30" spans="1:14" x14ac:dyDescent="0.25">
      <c r="A30" s="52">
        <f>A28-E28</f>
        <v>37.241899999789894</v>
      </c>
      <c r="B30" s="53" t="s">
        <v>759</v>
      </c>
      <c r="C30" s="7"/>
      <c r="D30" s="7"/>
      <c r="E30" s="7"/>
      <c r="F30" s="7"/>
      <c r="G30" s="7"/>
      <c r="H30" s="8"/>
      <c r="J30" s="75"/>
      <c r="K30" s="24"/>
    </row>
    <row r="31" spans="1:14" x14ac:dyDescent="0.25">
      <c r="A31" s="51" t="s">
        <v>793</v>
      </c>
      <c r="F31" s="76"/>
      <c r="H31" s="6"/>
      <c r="J31" s="71"/>
      <c r="K31" s="36"/>
    </row>
    <row r="32" spans="1:14" x14ac:dyDescent="0.25">
      <c r="A32" s="5" t="s">
        <v>76</v>
      </c>
      <c r="F32" s="77"/>
      <c r="H32" s="6"/>
      <c r="J32" s="72"/>
      <c r="K32" s="14"/>
    </row>
    <row r="33" spans="1:12" ht="15" x14ac:dyDescent="0.25">
      <c r="A33" s="101">
        <f>'Debt Service Summary'!E13</f>
        <v>140739</v>
      </c>
      <c r="B33" s="39" t="s">
        <v>60</v>
      </c>
      <c r="F33" s="63"/>
      <c r="H33" s="6"/>
      <c r="J33" s="36"/>
      <c r="K33" s="14"/>
    </row>
    <row r="34" spans="1:12" x14ac:dyDescent="0.25">
      <c r="A34" s="5"/>
      <c r="F34" s="64"/>
      <c r="H34" s="6"/>
      <c r="J34" s="73"/>
      <c r="K34" s="73"/>
    </row>
    <row r="35" spans="1:12" x14ac:dyDescent="0.25">
      <c r="A35" s="12"/>
      <c r="B35" s="24"/>
      <c r="F35" s="65"/>
      <c r="H35" s="6"/>
      <c r="J35" s="24"/>
    </row>
    <row r="36" spans="1:12" x14ac:dyDescent="0.25">
      <c r="A36" s="12">
        <v>113643</v>
      </c>
      <c r="B36" s="24" t="s">
        <v>764</v>
      </c>
      <c r="F36" s="62"/>
      <c r="H36" s="6"/>
      <c r="J36" s="14"/>
      <c r="K36" s="36"/>
    </row>
    <row r="37" spans="1:12" x14ac:dyDescent="0.25">
      <c r="A37" s="12">
        <v>59161</v>
      </c>
      <c r="B37" s="24" t="s">
        <v>1364</v>
      </c>
      <c r="F37" s="69"/>
      <c r="H37" s="6"/>
      <c r="J37" s="14"/>
      <c r="K37" s="14"/>
    </row>
    <row r="38" spans="1:12" x14ac:dyDescent="0.25">
      <c r="A38" s="12">
        <v>23548</v>
      </c>
      <c r="B38" s="24" t="s">
        <v>1365</v>
      </c>
      <c r="F38" s="69"/>
      <c r="H38" s="6"/>
      <c r="J38" s="14"/>
      <c r="K38" s="14"/>
    </row>
    <row r="39" spans="1:12" x14ac:dyDescent="0.25">
      <c r="A39" s="58">
        <f>'Debt Service Summary'!E8</f>
        <v>38865</v>
      </c>
      <c r="B39" s="24" t="s">
        <v>765</v>
      </c>
      <c r="F39" s="69"/>
      <c r="H39" s="6"/>
      <c r="J39" s="73"/>
      <c r="K39" s="74"/>
    </row>
    <row r="40" spans="1:12" x14ac:dyDescent="0.25">
      <c r="A40" s="58">
        <f>SUM(A35:A39)</f>
        <v>235217</v>
      </c>
      <c r="B40" s="61" t="s">
        <v>766</v>
      </c>
      <c r="C40" s="7"/>
      <c r="D40" s="7"/>
      <c r="E40" s="7"/>
      <c r="F40" s="70"/>
      <c r="G40" s="7"/>
      <c r="H40" s="8"/>
      <c r="K40" s="9"/>
      <c r="L40" s="33"/>
    </row>
    <row r="41" spans="1:12" x14ac:dyDescent="0.25">
      <c r="A41" s="13"/>
      <c r="K41" s="9"/>
      <c r="L41" s="33"/>
    </row>
    <row r="42" spans="1:12" x14ac:dyDescent="0.25">
      <c r="A42" s="13"/>
      <c r="L42" s="33"/>
    </row>
    <row r="43" spans="1:12" x14ac:dyDescent="0.25">
      <c r="A43" s="13"/>
    </row>
    <row r="46" spans="1:12" x14ac:dyDescent="0.25">
      <c r="A46" s="66"/>
    </row>
  </sheetData>
  <phoneticPr fontId="2" type="noConversion"/>
  <pageMargins left="0" right="0" top="0.75" bottom="0.75" header="0.3" footer="0.3"/>
  <pageSetup orientation="landscape" r:id="rId1"/>
  <headerFooter alignWithMargins="0">
    <oddHeader xml:space="preserve">&amp;RRevised 10/31/2016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7"/>
  <sheetViews>
    <sheetView workbookViewId="0">
      <selection activeCell="H20" sqref="H20"/>
    </sheetView>
  </sheetViews>
  <sheetFormatPr defaultRowHeight="13.2" x14ac:dyDescent="0.25"/>
  <cols>
    <col min="1" max="1" width="20.109375" customWidth="1"/>
    <col min="2" max="2" width="20.88671875" bestFit="1" customWidth="1"/>
    <col min="3" max="9" width="11.6640625" customWidth="1"/>
  </cols>
  <sheetData>
    <row r="1" spans="1:9" ht="15.6" x14ac:dyDescent="0.3">
      <c r="B1" s="11" t="s">
        <v>737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  <c r="I1" s="36">
        <v>2018</v>
      </c>
    </row>
    <row r="2" spans="1:9" x14ac:dyDescent="0.25">
      <c r="C2" s="1" t="s">
        <v>501</v>
      </c>
      <c r="D2" s="1" t="s">
        <v>1370</v>
      </c>
      <c r="E2" s="36" t="s">
        <v>501</v>
      </c>
      <c r="F2" s="36" t="s">
        <v>794</v>
      </c>
      <c r="G2" s="36" t="s">
        <v>501</v>
      </c>
      <c r="H2" s="36" t="s">
        <v>794</v>
      </c>
      <c r="I2" s="36" t="s">
        <v>501</v>
      </c>
    </row>
    <row r="3" spans="1:9" x14ac:dyDescent="0.25"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t="s">
        <v>77</v>
      </c>
    </row>
    <row r="5" spans="1:9" x14ac:dyDescent="0.25">
      <c r="A5" s="24" t="s">
        <v>887</v>
      </c>
      <c r="B5" s="24" t="s">
        <v>888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</row>
    <row r="6" spans="1:9" x14ac:dyDescent="0.25">
      <c r="A6" t="s">
        <v>738</v>
      </c>
      <c r="B6" t="s">
        <v>739</v>
      </c>
      <c r="C6" s="9">
        <v>8000</v>
      </c>
      <c r="D6" s="9">
        <v>7824</v>
      </c>
      <c r="E6" s="9">
        <v>8000</v>
      </c>
      <c r="F6" s="9">
        <v>7824</v>
      </c>
      <c r="G6" s="9">
        <v>8000</v>
      </c>
      <c r="H6" s="9">
        <v>7824</v>
      </c>
      <c r="I6" s="9">
        <v>8000</v>
      </c>
    </row>
    <row r="7" spans="1:9" x14ac:dyDescent="0.25">
      <c r="A7" s="24"/>
      <c r="C7" s="9"/>
      <c r="D7" s="9"/>
      <c r="E7" s="9"/>
      <c r="F7" s="9"/>
      <c r="G7" s="9"/>
      <c r="H7" s="9"/>
      <c r="I7" s="9"/>
    </row>
    <row r="8" spans="1:9" x14ac:dyDescent="0.25">
      <c r="B8" t="s">
        <v>740</v>
      </c>
      <c r="C8" s="9">
        <v>8000</v>
      </c>
      <c r="D8" s="9">
        <f>SUM(D5:D6)</f>
        <v>7824</v>
      </c>
      <c r="E8" s="9">
        <f>SUM(E5:E7)</f>
        <v>8000</v>
      </c>
      <c r="F8" s="9">
        <f>SUM(F5:F7)</f>
        <v>7824</v>
      </c>
      <c r="G8" s="9">
        <f>SUM(G5:G6)</f>
        <v>8000</v>
      </c>
      <c r="H8" s="9">
        <f>SUM(H5:H6)</f>
        <v>7824</v>
      </c>
      <c r="I8" s="9">
        <f>SUM(I5:I7)</f>
        <v>8000</v>
      </c>
    </row>
    <row r="9" spans="1:9" x14ac:dyDescent="0.25">
      <c r="A9" s="24"/>
    </row>
    <row r="10" spans="1:9" x14ac:dyDescent="0.25">
      <c r="A10" s="24"/>
    </row>
    <row r="12" spans="1:9" x14ac:dyDescent="0.25">
      <c r="A12" s="24" t="s">
        <v>760</v>
      </c>
    </row>
    <row r="13" spans="1:9" x14ac:dyDescent="0.25">
      <c r="A13" t="s">
        <v>1007</v>
      </c>
    </row>
    <row r="14" spans="1:9" x14ac:dyDescent="0.25">
      <c r="A14" s="24" t="s">
        <v>1008</v>
      </c>
    </row>
    <row r="15" spans="1:9" x14ac:dyDescent="0.25">
      <c r="A15" s="24"/>
    </row>
    <row r="16" spans="1:9" x14ac:dyDescent="0.25">
      <c r="A16" s="25"/>
      <c r="B16" s="24"/>
      <c r="C16" s="24"/>
      <c r="D16" s="24"/>
      <c r="E16" s="24"/>
      <c r="F16" s="24"/>
      <c r="G16" s="24"/>
      <c r="H16" s="24"/>
      <c r="I16" s="24"/>
    </row>
    <row r="17" spans="1:9" x14ac:dyDescent="0.25">
      <c r="A17" s="24"/>
      <c r="B17" s="24"/>
      <c r="C17" s="24"/>
      <c r="D17" s="24"/>
      <c r="E17" s="24"/>
      <c r="F17" s="24"/>
      <c r="G17" s="24"/>
      <c r="H17" s="24"/>
      <c r="I17" s="24"/>
    </row>
    <row r="18" spans="1:9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20" spans="1:9" x14ac:dyDescent="0.25">
      <c r="A20" s="24"/>
    </row>
    <row r="21" spans="1:9" x14ac:dyDescent="0.25">
      <c r="A21" s="24"/>
    </row>
    <row r="23" spans="1:9" x14ac:dyDescent="0.25">
      <c r="A23" s="24"/>
      <c r="B23" s="24"/>
      <c r="C23" s="24"/>
      <c r="D23" s="24"/>
      <c r="E23" s="24"/>
      <c r="F23" s="24"/>
      <c r="G23" s="24"/>
      <c r="H23" s="24"/>
      <c r="I23" s="24"/>
    </row>
    <row r="24" spans="1:9" x14ac:dyDescent="0.25">
      <c r="A24" s="24"/>
    </row>
    <row r="25" spans="1:9" x14ac:dyDescent="0.25">
      <c r="A25" s="24"/>
    </row>
    <row r="26" spans="1:9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25">
      <c r="B27" s="22"/>
      <c r="C27" s="22"/>
      <c r="D27" s="22"/>
      <c r="E27" s="22"/>
      <c r="F27" s="22"/>
      <c r="G27" s="22"/>
      <c r="H27" s="22"/>
      <c r="I27" s="22"/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"/>
  <sheetViews>
    <sheetView workbookViewId="0">
      <selection activeCell="G22" sqref="G22"/>
    </sheetView>
  </sheetViews>
  <sheetFormatPr defaultRowHeight="13.2" x14ac:dyDescent="0.25"/>
  <cols>
    <col min="1" max="1" width="16.6640625" customWidth="1"/>
    <col min="2" max="2" width="27.88671875" bestFit="1" customWidth="1"/>
    <col min="3" max="8" width="11.6640625" customWidth="1"/>
  </cols>
  <sheetData>
    <row r="1" spans="1:13" ht="15.6" x14ac:dyDescent="0.3">
      <c r="B1" s="11" t="s">
        <v>756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  <c r="I1" s="36"/>
      <c r="J1" s="36"/>
      <c r="K1" s="14"/>
      <c r="L1" s="36"/>
      <c r="M1" s="14"/>
    </row>
    <row r="2" spans="1:13" x14ac:dyDescent="0.25">
      <c r="C2" s="1" t="s">
        <v>501</v>
      </c>
      <c r="D2" s="1" t="s">
        <v>1333</v>
      </c>
      <c r="E2" s="36" t="s">
        <v>501</v>
      </c>
      <c r="F2" s="36" t="s">
        <v>794</v>
      </c>
      <c r="G2" s="36" t="s">
        <v>501</v>
      </c>
      <c r="H2" s="36" t="s">
        <v>794</v>
      </c>
      <c r="I2" s="48"/>
      <c r="J2" s="36"/>
      <c r="K2" s="36"/>
      <c r="L2" s="36"/>
      <c r="M2" s="15"/>
    </row>
    <row r="3" spans="1:13" x14ac:dyDescent="0.25">
      <c r="B3" s="26"/>
      <c r="C3" s="26"/>
      <c r="D3" s="26"/>
      <c r="E3" s="26"/>
      <c r="F3" s="26"/>
      <c r="G3" s="26"/>
      <c r="H3" s="26"/>
      <c r="I3" s="27"/>
      <c r="J3" s="27"/>
      <c r="K3" s="27"/>
      <c r="L3" s="28"/>
      <c r="M3" s="20"/>
    </row>
    <row r="4" spans="1:13" x14ac:dyDescent="0.25">
      <c r="A4" t="s">
        <v>77</v>
      </c>
      <c r="I4" s="14"/>
      <c r="J4" s="14"/>
      <c r="K4" s="14"/>
      <c r="L4" s="1"/>
      <c r="M4" s="15"/>
    </row>
    <row r="5" spans="1:13" x14ac:dyDescent="0.25">
      <c r="A5" s="24" t="s">
        <v>758</v>
      </c>
      <c r="B5" s="24" t="s">
        <v>575</v>
      </c>
      <c r="C5" s="49">
        <v>100</v>
      </c>
      <c r="D5" s="49">
        <v>0</v>
      </c>
      <c r="E5" s="49">
        <v>500</v>
      </c>
      <c r="F5" s="49">
        <v>0</v>
      </c>
      <c r="G5" s="49">
        <v>500</v>
      </c>
      <c r="H5" s="49">
        <v>2233.8000000000002</v>
      </c>
      <c r="I5" s="9"/>
      <c r="J5" s="9"/>
      <c r="K5" s="9"/>
      <c r="L5" s="9"/>
      <c r="M5" s="9"/>
    </row>
    <row r="6" spans="1:13" x14ac:dyDescent="0.25">
      <c r="A6" s="24" t="s">
        <v>771</v>
      </c>
      <c r="B6" s="24" t="s">
        <v>87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9"/>
      <c r="J6" s="9"/>
      <c r="K6" s="9"/>
      <c r="L6" s="9"/>
      <c r="M6" s="9"/>
    </row>
    <row r="7" spans="1:13" x14ac:dyDescent="0.25">
      <c r="A7" s="24" t="s">
        <v>757</v>
      </c>
      <c r="B7" s="24" t="s">
        <v>89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9"/>
      <c r="J7" s="9"/>
      <c r="K7" s="9"/>
      <c r="L7" s="9"/>
      <c r="M7" s="9"/>
    </row>
    <row r="8" spans="1:13" x14ac:dyDescent="0.25">
      <c r="A8" s="24"/>
      <c r="B8" s="24"/>
      <c r="C8" s="49"/>
      <c r="D8" s="49"/>
      <c r="E8" s="49"/>
      <c r="F8" s="49"/>
      <c r="G8" s="49"/>
      <c r="H8" s="49"/>
      <c r="I8" s="9"/>
      <c r="J8" s="9"/>
      <c r="K8" s="9"/>
      <c r="L8" s="9"/>
      <c r="M8" s="9"/>
    </row>
    <row r="9" spans="1:13" x14ac:dyDescent="0.25">
      <c r="B9" t="s">
        <v>57</v>
      </c>
      <c r="C9" s="9">
        <f>SUM(C5:C7)</f>
        <v>100</v>
      </c>
      <c r="D9" s="9">
        <v>0</v>
      </c>
      <c r="E9" s="9">
        <f>SUM(E5:E7)</f>
        <v>500</v>
      </c>
      <c r="F9" s="9">
        <f>SUM(F5:F8)</f>
        <v>0</v>
      </c>
      <c r="G9" s="9">
        <f>SUM(G5:G7)</f>
        <v>500</v>
      </c>
      <c r="H9" s="9">
        <f>SUM(H5:H8)</f>
        <v>2233.8000000000002</v>
      </c>
      <c r="I9" s="9"/>
      <c r="J9" s="9"/>
      <c r="K9" s="9"/>
      <c r="L9" s="9"/>
      <c r="M9" s="9"/>
    </row>
    <row r="13" spans="1:13" x14ac:dyDescent="0.25">
      <c r="A13" s="25" t="s">
        <v>942</v>
      </c>
    </row>
  </sheetData>
  <pageMargins left="0.7" right="0.7" top="0.75" bottom="0.75" header="0.3" footer="0.3"/>
  <pageSetup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2"/>
  <sheetViews>
    <sheetView workbookViewId="0">
      <selection activeCell="J27" sqref="J27"/>
    </sheetView>
  </sheetViews>
  <sheetFormatPr defaultRowHeight="13.2" x14ac:dyDescent="0.25"/>
  <cols>
    <col min="1" max="1" width="17.6640625" customWidth="1"/>
    <col min="2" max="2" width="28.5546875" customWidth="1"/>
    <col min="3" max="3" width="5.6640625" customWidth="1"/>
    <col min="4" max="10" width="11.6640625" customWidth="1"/>
  </cols>
  <sheetData>
    <row r="1" spans="1:12" ht="15.6" x14ac:dyDescent="0.3">
      <c r="B1" s="11" t="s">
        <v>596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2" x14ac:dyDescent="0.25">
      <c r="D2" s="1" t="s">
        <v>501</v>
      </c>
      <c r="E2" s="1" t="s">
        <v>1333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3" spans="1:12" x14ac:dyDescent="0.25">
      <c r="E3" s="1"/>
    </row>
    <row r="5" spans="1:12" x14ac:dyDescent="0.25">
      <c r="A5" t="s">
        <v>597</v>
      </c>
      <c r="B5" s="10" t="s">
        <v>570</v>
      </c>
      <c r="D5" s="9">
        <v>3500</v>
      </c>
      <c r="E5" s="9">
        <v>3499.5</v>
      </c>
      <c r="F5" s="34">
        <v>3500</v>
      </c>
      <c r="G5" s="9">
        <v>2018.95</v>
      </c>
      <c r="H5" s="9">
        <v>2500</v>
      </c>
      <c r="I5" s="9">
        <v>2500</v>
      </c>
      <c r="J5" s="9">
        <v>2500</v>
      </c>
    </row>
    <row r="6" spans="1:12" x14ac:dyDescent="0.25">
      <c r="D6" s="9"/>
      <c r="E6" s="9"/>
      <c r="F6" s="9"/>
      <c r="G6" s="9"/>
      <c r="H6" s="9"/>
      <c r="I6" s="9"/>
      <c r="J6" s="9"/>
      <c r="L6" s="24"/>
    </row>
    <row r="7" spans="1:12" x14ac:dyDescent="0.25">
      <c r="B7" t="s">
        <v>740</v>
      </c>
      <c r="D7" s="9">
        <v>3500</v>
      </c>
      <c r="E7" s="9">
        <f>SUM(E5)</f>
        <v>3499.5</v>
      </c>
      <c r="F7" s="9">
        <v>3500</v>
      </c>
      <c r="G7" s="9">
        <v>1936.95</v>
      </c>
      <c r="H7" s="9">
        <v>2500</v>
      </c>
      <c r="I7" s="9">
        <v>2500</v>
      </c>
      <c r="J7" s="9">
        <f>SUM(J5:J6)</f>
        <v>2500</v>
      </c>
    </row>
    <row r="12" spans="1:12" x14ac:dyDescent="0.25">
      <c r="A12" s="25"/>
    </row>
  </sheetData>
  <pageMargins left="0.25" right="0.25" top="0.75" bottom="0.75" header="0.3" footer="0.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8"/>
  <sheetViews>
    <sheetView topLeftCell="A85" workbookViewId="0">
      <selection activeCell="L48" sqref="L48"/>
    </sheetView>
  </sheetViews>
  <sheetFormatPr defaultRowHeight="13.2" x14ac:dyDescent="0.25"/>
  <cols>
    <col min="1" max="1" width="20.44140625" customWidth="1"/>
    <col min="2" max="2" width="31.44140625" customWidth="1"/>
    <col min="3" max="3" width="2.6640625" customWidth="1"/>
    <col min="4" max="7" width="11.6640625" customWidth="1"/>
    <col min="8" max="8" width="11.5546875" customWidth="1"/>
    <col min="9" max="10" width="11.6640625" customWidth="1"/>
    <col min="13" max="13" width="9.88671875" bestFit="1" customWidth="1"/>
  </cols>
  <sheetData>
    <row r="1" spans="1:10" ht="15.6" x14ac:dyDescent="0.3">
      <c r="B1" s="11" t="s">
        <v>1103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0" x14ac:dyDescent="0.25">
      <c r="D2" s="1" t="s">
        <v>501</v>
      </c>
      <c r="E2" s="1" t="s">
        <v>1370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3" spans="1:10" x14ac:dyDescent="0.25">
      <c r="F3" s="24"/>
    </row>
    <row r="4" spans="1:10" x14ac:dyDescent="0.25">
      <c r="A4" t="s">
        <v>76</v>
      </c>
    </row>
    <row r="5" spans="1:10" x14ac:dyDescent="0.25">
      <c r="A5" s="24" t="s">
        <v>983</v>
      </c>
      <c r="B5" s="24" t="s">
        <v>976</v>
      </c>
      <c r="D5" s="9">
        <v>0</v>
      </c>
      <c r="E5" s="9">
        <v>0</v>
      </c>
      <c r="F5" s="9">
        <v>13000</v>
      </c>
      <c r="G5" s="9">
        <v>201815.51</v>
      </c>
      <c r="H5" s="9">
        <v>13000</v>
      </c>
      <c r="I5" s="9">
        <v>13486</v>
      </c>
      <c r="J5" s="9">
        <v>13000</v>
      </c>
    </row>
    <row r="6" spans="1:10" x14ac:dyDescent="0.25">
      <c r="A6" t="s">
        <v>980</v>
      </c>
      <c r="B6" t="s">
        <v>956</v>
      </c>
      <c r="D6" s="9">
        <v>25000</v>
      </c>
      <c r="E6" s="9">
        <v>20065.23</v>
      </c>
      <c r="F6" s="34">
        <v>25000</v>
      </c>
      <c r="G6" s="9">
        <v>24014.73</v>
      </c>
      <c r="H6" s="9">
        <v>22000</v>
      </c>
      <c r="I6" s="9">
        <v>22196.87</v>
      </c>
      <c r="J6" s="9">
        <v>22000</v>
      </c>
    </row>
    <row r="7" spans="1:10" x14ac:dyDescent="0.25">
      <c r="A7" t="s">
        <v>981</v>
      </c>
      <c r="B7" t="s">
        <v>982</v>
      </c>
      <c r="D7" s="9">
        <v>250</v>
      </c>
      <c r="E7" s="9">
        <v>80.599999999999994</v>
      </c>
      <c r="F7" s="9">
        <v>250</v>
      </c>
      <c r="G7" s="9">
        <v>133.15</v>
      </c>
      <c r="H7" s="9">
        <v>250</v>
      </c>
      <c r="I7" s="9">
        <v>132.31</v>
      </c>
      <c r="J7" s="9">
        <v>250</v>
      </c>
    </row>
    <row r="8" spans="1:10" x14ac:dyDescent="0.25">
      <c r="A8" s="24" t="s">
        <v>1075</v>
      </c>
      <c r="B8" s="24" t="s">
        <v>781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x14ac:dyDescent="0.25">
      <c r="A9" s="24" t="s">
        <v>1331</v>
      </c>
      <c r="B9" s="24" t="s">
        <v>946</v>
      </c>
      <c r="D9" s="9">
        <v>0</v>
      </c>
      <c r="E9" s="9"/>
      <c r="F9" s="9"/>
      <c r="G9" s="9"/>
      <c r="H9" s="9"/>
      <c r="I9" s="9"/>
      <c r="J9" s="9"/>
    </row>
    <row r="10" spans="1:10" x14ac:dyDescent="0.25">
      <c r="A10" s="24" t="s">
        <v>1266</v>
      </c>
      <c r="B10" s="24" t="s">
        <v>1267</v>
      </c>
      <c r="D10" s="9">
        <v>0</v>
      </c>
      <c r="E10" s="9">
        <v>0</v>
      </c>
      <c r="F10" s="9"/>
      <c r="G10" s="9">
        <v>4562.5</v>
      </c>
      <c r="H10" s="9"/>
      <c r="I10" s="9"/>
      <c r="J10" s="9"/>
    </row>
    <row r="11" spans="1:10" x14ac:dyDescent="0.25">
      <c r="A11" s="24" t="s">
        <v>1076</v>
      </c>
      <c r="B11" s="24" t="s">
        <v>1077</v>
      </c>
      <c r="D11" s="9">
        <v>20000</v>
      </c>
      <c r="E11" s="9">
        <v>159947</v>
      </c>
      <c r="F11" s="9"/>
      <c r="G11" s="9">
        <v>0</v>
      </c>
      <c r="H11" s="9">
        <v>10000</v>
      </c>
      <c r="I11" s="9">
        <v>106125</v>
      </c>
      <c r="J11" s="9">
        <v>0</v>
      </c>
    </row>
    <row r="12" spans="1:10" x14ac:dyDescent="0.25">
      <c r="D12" s="9"/>
      <c r="E12" s="9"/>
      <c r="F12" s="9"/>
      <c r="G12" s="9"/>
      <c r="H12" s="9"/>
      <c r="I12" s="9"/>
      <c r="J12" s="9"/>
    </row>
    <row r="13" spans="1:10" x14ac:dyDescent="0.25">
      <c r="D13" s="9">
        <f>SUM(D5:D11)</f>
        <v>45250</v>
      </c>
      <c r="E13" s="9">
        <f>SUM(E5:E11)</f>
        <v>180092.83</v>
      </c>
      <c r="F13" s="9">
        <f>SUM(F5:F11)</f>
        <v>38250</v>
      </c>
      <c r="G13" s="9">
        <f>SUM(G5:G11)</f>
        <v>230525.89</v>
      </c>
      <c r="H13" s="9">
        <f>SUM(H5:H11)</f>
        <v>45250</v>
      </c>
      <c r="I13" s="9">
        <f>SUM(I5:I12)</f>
        <v>141940.18</v>
      </c>
      <c r="J13" s="9">
        <f>SUM(J5:J12)</f>
        <v>35250</v>
      </c>
    </row>
    <row r="14" spans="1:10" x14ac:dyDescent="0.25">
      <c r="D14" s="9"/>
      <c r="E14" s="9"/>
      <c r="F14" s="9"/>
      <c r="G14" s="9"/>
      <c r="H14" s="9"/>
      <c r="I14" s="9"/>
      <c r="J14" s="9"/>
    </row>
    <row r="15" spans="1:10" x14ac:dyDescent="0.25">
      <c r="A15" t="s">
        <v>77</v>
      </c>
      <c r="D15" s="9"/>
      <c r="E15" s="9"/>
      <c r="F15" s="9"/>
      <c r="G15" s="9"/>
      <c r="H15" s="9"/>
      <c r="I15" s="9"/>
      <c r="J15" s="9"/>
    </row>
    <row r="16" spans="1:10" x14ac:dyDescent="0.25">
      <c r="A16" t="s">
        <v>190</v>
      </c>
      <c r="D16" s="9"/>
      <c r="E16" s="9"/>
      <c r="F16" s="9"/>
      <c r="G16" s="9"/>
      <c r="H16" s="9"/>
      <c r="I16" s="9"/>
      <c r="J16" s="9"/>
    </row>
    <row r="17" spans="1:13" x14ac:dyDescent="0.25">
      <c r="A17" t="s">
        <v>258</v>
      </c>
      <c r="B17" t="s">
        <v>96</v>
      </c>
      <c r="D17" s="9">
        <v>39374.400000000001</v>
      </c>
      <c r="E17" s="9">
        <v>32515</v>
      </c>
      <c r="F17" s="9">
        <v>37627.199999999997</v>
      </c>
      <c r="G17" s="9">
        <v>36289.410000000003</v>
      </c>
      <c r="H17" s="9">
        <f>17.38*2080</f>
        <v>36150.400000000001</v>
      </c>
      <c r="I17" s="9">
        <v>34922.660000000003</v>
      </c>
      <c r="J17" s="9">
        <f>16.71*2080</f>
        <v>34756.800000000003</v>
      </c>
    </row>
    <row r="18" spans="1:13" x14ac:dyDescent="0.25">
      <c r="A18" t="s">
        <v>259</v>
      </c>
      <c r="B18" t="s">
        <v>97</v>
      </c>
      <c r="D18" s="9">
        <v>5000</v>
      </c>
      <c r="E18" s="9">
        <v>4654.45</v>
      </c>
      <c r="F18" s="9">
        <v>5000</v>
      </c>
      <c r="G18" s="9">
        <v>6687.67</v>
      </c>
      <c r="H18" s="9">
        <v>5000</v>
      </c>
      <c r="I18" s="9">
        <v>6168.79</v>
      </c>
      <c r="J18" s="9">
        <v>5000</v>
      </c>
    </row>
    <row r="19" spans="1:13" x14ac:dyDescent="0.25">
      <c r="A19" t="s">
        <v>525</v>
      </c>
      <c r="B19" t="s">
        <v>526</v>
      </c>
      <c r="D19" s="9">
        <v>14664</v>
      </c>
      <c r="E19" s="9">
        <v>10821.65</v>
      </c>
      <c r="F19" s="9">
        <v>14060.8</v>
      </c>
      <c r="G19" s="9">
        <v>17707.28</v>
      </c>
      <c r="H19" s="9">
        <v>13509.6</v>
      </c>
      <c r="I19" s="9">
        <v>20457.939999999999</v>
      </c>
      <c r="J19" s="9">
        <v>13000</v>
      </c>
    </row>
    <row r="20" spans="1:13" x14ac:dyDescent="0.25">
      <c r="A20" t="s">
        <v>488</v>
      </c>
      <c r="B20" t="s">
        <v>45</v>
      </c>
      <c r="D20" s="9">
        <v>0</v>
      </c>
      <c r="E20" s="9"/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3" x14ac:dyDescent="0.25">
      <c r="A21" t="s">
        <v>186</v>
      </c>
      <c r="D21" s="9"/>
      <c r="E21" s="9"/>
      <c r="F21" s="9"/>
      <c r="G21" s="9"/>
      <c r="H21" s="9"/>
      <c r="I21" s="9"/>
      <c r="J21" s="9"/>
      <c r="M21" s="19"/>
    </row>
    <row r="22" spans="1:13" x14ac:dyDescent="0.25">
      <c r="A22" t="s">
        <v>260</v>
      </c>
      <c r="B22" t="s">
        <v>188</v>
      </c>
      <c r="D22" s="9">
        <f>0.075*SUM(D17:D20)</f>
        <v>4427.88</v>
      </c>
      <c r="E22" s="9">
        <v>3689.31</v>
      </c>
      <c r="F22" s="9">
        <f>0.075*SUM(F17:F20)</f>
        <v>4251.5999999999995</v>
      </c>
      <c r="G22" s="9">
        <v>4245.0200000000004</v>
      </c>
      <c r="H22" s="9">
        <f>0.075*SUM(H17:H20)</f>
        <v>4099.5</v>
      </c>
      <c r="I22" s="9">
        <v>3808.78</v>
      </c>
      <c r="J22" s="9">
        <f>0.075*SUM(J17:J20)</f>
        <v>3956.76</v>
      </c>
    </row>
    <row r="23" spans="1:13" x14ac:dyDescent="0.25">
      <c r="A23" t="s">
        <v>261</v>
      </c>
      <c r="B23" t="s">
        <v>80</v>
      </c>
      <c r="D23" s="9">
        <f>0.062*SUM(D17:D20)</f>
        <v>3660.3807999999999</v>
      </c>
      <c r="E23" s="9">
        <v>3059.42</v>
      </c>
      <c r="F23" s="9">
        <f>0.062*SUM(F17:F20)</f>
        <v>3514.6559999999999</v>
      </c>
      <c r="G23" s="9">
        <v>3763.63</v>
      </c>
      <c r="H23" s="9">
        <f>0.062*SUM(H17:H20)</f>
        <v>3388.92</v>
      </c>
      <c r="I23" s="9">
        <v>3787.44</v>
      </c>
      <c r="J23" s="9">
        <f>0.062*SUM(J17:J20)</f>
        <v>3270.9216000000001</v>
      </c>
    </row>
    <row r="24" spans="1:13" x14ac:dyDescent="0.25">
      <c r="A24" t="s">
        <v>262</v>
      </c>
      <c r="B24" t="s">
        <v>82</v>
      </c>
      <c r="D24" s="9">
        <f>0.0145*SUM(D17:D20)</f>
        <v>856.05680000000007</v>
      </c>
      <c r="E24" s="9">
        <v>715.51</v>
      </c>
      <c r="F24" s="9">
        <f>0.0145*SUM(F17:F20)</f>
        <v>821.976</v>
      </c>
      <c r="G24" s="9">
        <v>880.21</v>
      </c>
      <c r="H24" s="9">
        <f>0.0145*SUM(H17:H20)</f>
        <v>792.57</v>
      </c>
      <c r="I24" s="9">
        <v>885.75</v>
      </c>
      <c r="J24" s="9">
        <f>0.0145*SUM(J17:J20)</f>
        <v>764.97360000000003</v>
      </c>
    </row>
    <row r="25" spans="1:13" x14ac:dyDescent="0.25">
      <c r="A25" t="s">
        <v>181</v>
      </c>
      <c r="D25" s="9"/>
      <c r="E25" s="9"/>
      <c r="F25" s="9"/>
      <c r="G25" s="9"/>
      <c r="H25" s="9"/>
      <c r="I25" s="9"/>
      <c r="J25" s="9"/>
    </row>
    <row r="26" spans="1:13" x14ac:dyDescent="0.25">
      <c r="A26" t="s">
        <v>263</v>
      </c>
      <c r="B26" t="s">
        <v>183</v>
      </c>
      <c r="D26" s="9">
        <v>18000</v>
      </c>
      <c r="E26" s="9">
        <v>8125.92</v>
      </c>
      <c r="F26" s="9">
        <v>22800</v>
      </c>
      <c r="G26" s="9">
        <v>8846.8799999999992</v>
      </c>
      <c r="H26" s="9">
        <f>950*12</f>
        <v>11400</v>
      </c>
      <c r="I26" s="9">
        <v>8253.6</v>
      </c>
      <c r="J26" s="9">
        <v>10800</v>
      </c>
    </row>
    <row r="27" spans="1:13" x14ac:dyDescent="0.25">
      <c r="A27" t="s">
        <v>264</v>
      </c>
      <c r="B27" t="s">
        <v>185</v>
      </c>
      <c r="D27" s="9">
        <v>1020</v>
      </c>
      <c r="E27" s="9">
        <v>731.07</v>
      </c>
      <c r="F27" s="9">
        <v>795</v>
      </c>
      <c r="G27" s="9">
        <v>769.14</v>
      </c>
      <c r="H27" s="9">
        <v>765</v>
      </c>
      <c r="I27" s="9">
        <v>741.99</v>
      </c>
      <c r="J27" s="9">
        <v>734.64</v>
      </c>
    </row>
    <row r="28" spans="1:13" x14ac:dyDescent="0.25">
      <c r="A28" t="s">
        <v>42</v>
      </c>
      <c r="D28" s="9"/>
      <c r="E28" s="9"/>
      <c r="F28" s="9"/>
      <c r="G28" s="9"/>
      <c r="H28" s="9"/>
      <c r="I28" s="9"/>
      <c r="J28" s="9"/>
    </row>
    <row r="29" spans="1:13" x14ac:dyDescent="0.25">
      <c r="A29" t="s">
        <v>265</v>
      </c>
      <c r="B29" t="s">
        <v>180</v>
      </c>
      <c r="D29" s="9">
        <v>2000</v>
      </c>
      <c r="E29" s="9">
        <v>0</v>
      </c>
      <c r="F29" s="9">
        <v>2000</v>
      </c>
      <c r="G29" s="9">
        <v>1754</v>
      </c>
      <c r="H29" s="9">
        <v>2500</v>
      </c>
      <c r="I29" s="9">
        <v>2540.4299999999998</v>
      </c>
      <c r="J29" s="9">
        <v>4000</v>
      </c>
    </row>
    <row r="30" spans="1:13" x14ac:dyDescent="0.25">
      <c r="A30" t="s">
        <v>32</v>
      </c>
      <c r="D30" s="9"/>
      <c r="E30" s="9"/>
      <c r="F30" s="9"/>
      <c r="G30" s="9"/>
      <c r="H30" s="9"/>
      <c r="I30" s="9"/>
      <c r="J30" s="9"/>
    </row>
    <row r="31" spans="1:13" x14ac:dyDescent="0.25">
      <c r="A31" t="s">
        <v>266</v>
      </c>
      <c r="B31" t="s">
        <v>41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3" x14ac:dyDescent="0.25">
      <c r="A32" t="s">
        <v>147</v>
      </c>
      <c r="D32" s="9"/>
      <c r="E32" s="9"/>
      <c r="F32" s="9"/>
      <c r="G32" s="9"/>
      <c r="H32" s="9"/>
      <c r="I32" s="9"/>
      <c r="J32" s="9"/>
    </row>
    <row r="33" spans="1:10" x14ac:dyDescent="0.25">
      <c r="A33" s="24" t="s">
        <v>1375</v>
      </c>
      <c r="B33" s="24" t="s">
        <v>149</v>
      </c>
      <c r="D33" s="9">
        <v>0</v>
      </c>
      <c r="E33" s="9">
        <v>284.29000000000002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x14ac:dyDescent="0.25">
      <c r="A34" t="s">
        <v>267</v>
      </c>
      <c r="B34" t="s">
        <v>150</v>
      </c>
      <c r="D34" s="9">
        <v>10000</v>
      </c>
      <c r="E34" s="9">
        <v>6512.18</v>
      </c>
      <c r="F34" s="9">
        <v>10000</v>
      </c>
      <c r="G34" s="9">
        <v>12163.56</v>
      </c>
      <c r="H34" s="9">
        <v>15000</v>
      </c>
      <c r="I34" s="9">
        <v>10773.98</v>
      </c>
      <c r="J34" s="9">
        <v>15000</v>
      </c>
    </row>
    <row r="35" spans="1:10" x14ac:dyDescent="0.25">
      <c r="A35" t="s">
        <v>268</v>
      </c>
      <c r="B35" t="s">
        <v>172</v>
      </c>
      <c r="D35" s="9">
        <v>3000</v>
      </c>
      <c r="E35" s="9">
        <v>112</v>
      </c>
      <c r="F35" s="9">
        <v>3000</v>
      </c>
      <c r="G35" s="9">
        <v>3529.73</v>
      </c>
      <c r="H35" s="9">
        <v>1000</v>
      </c>
      <c r="I35" s="9">
        <v>771.8</v>
      </c>
      <c r="J35" s="9">
        <v>1000</v>
      </c>
    </row>
    <row r="36" spans="1:10" x14ac:dyDescent="0.25">
      <c r="A36" t="s">
        <v>269</v>
      </c>
      <c r="B36" t="s">
        <v>30</v>
      </c>
      <c r="D36" s="9">
        <v>0</v>
      </c>
      <c r="E36" s="9">
        <v>173.84</v>
      </c>
      <c r="F36" s="9">
        <v>0</v>
      </c>
      <c r="G36" s="9">
        <v>43.9</v>
      </c>
      <c r="H36" s="9">
        <v>200</v>
      </c>
      <c r="I36" s="9">
        <v>183.06</v>
      </c>
      <c r="J36" s="9">
        <v>0</v>
      </c>
    </row>
    <row r="37" spans="1:10" x14ac:dyDescent="0.25">
      <c r="A37" t="s">
        <v>270</v>
      </c>
      <c r="B37" t="s">
        <v>31</v>
      </c>
      <c r="D37" s="9">
        <v>5000</v>
      </c>
      <c r="E37" s="9">
        <v>6272.17</v>
      </c>
      <c r="F37" s="9">
        <v>5000</v>
      </c>
      <c r="G37" s="9">
        <v>5251.3</v>
      </c>
      <c r="H37" s="9">
        <v>4000</v>
      </c>
      <c r="I37" s="9">
        <v>48376.76</v>
      </c>
      <c r="J37" s="9">
        <v>1400</v>
      </c>
    </row>
    <row r="38" spans="1:10" x14ac:dyDescent="0.25">
      <c r="A38" t="s">
        <v>23</v>
      </c>
      <c r="D38" s="9"/>
      <c r="E38" s="9"/>
      <c r="F38" s="9"/>
      <c r="G38" s="9"/>
      <c r="H38" s="9"/>
      <c r="I38" s="9"/>
      <c r="J38" s="9"/>
    </row>
    <row r="39" spans="1:10" x14ac:dyDescent="0.25">
      <c r="A39" t="s">
        <v>271</v>
      </c>
      <c r="B39" t="s">
        <v>139</v>
      </c>
      <c r="D39" s="9">
        <v>6500</v>
      </c>
      <c r="E39" s="9">
        <v>5046.38</v>
      </c>
      <c r="F39" s="9">
        <v>6500</v>
      </c>
      <c r="G39" s="9">
        <v>8242.5400000000009</v>
      </c>
      <c r="H39" s="9">
        <v>6500</v>
      </c>
      <c r="I39" s="9">
        <v>13367.79</v>
      </c>
      <c r="J39" s="9">
        <v>5000</v>
      </c>
    </row>
    <row r="40" spans="1:10" x14ac:dyDescent="0.25">
      <c r="A40" t="s">
        <v>272</v>
      </c>
      <c r="B40" t="s">
        <v>140</v>
      </c>
      <c r="D40" s="9">
        <v>1000</v>
      </c>
      <c r="E40" s="9">
        <v>0</v>
      </c>
      <c r="F40" s="9">
        <v>2000</v>
      </c>
      <c r="G40" s="9">
        <v>0</v>
      </c>
      <c r="H40" s="9">
        <v>2000</v>
      </c>
      <c r="I40" s="9">
        <v>2396.7600000000002</v>
      </c>
      <c r="J40" s="9">
        <v>2000</v>
      </c>
    </row>
    <row r="41" spans="1:10" x14ac:dyDescent="0.25">
      <c r="A41" t="s">
        <v>273</v>
      </c>
      <c r="B41" t="s">
        <v>142</v>
      </c>
      <c r="D41" s="34">
        <v>10000</v>
      </c>
      <c r="E41" s="9">
        <v>2485.48</v>
      </c>
      <c r="F41" s="9">
        <v>6000</v>
      </c>
      <c r="G41" s="9">
        <v>12347.23</v>
      </c>
      <c r="H41" s="9">
        <v>6000</v>
      </c>
      <c r="I41" s="9">
        <v>26432.36</v>
      </c>
      <c r="J41" s="9">
        <v>5000</v>
      </c>
    </row>
    <row r="42" spans="1:10" x14ac:dyDescent="0.25">
      <c r="A42" t="s">
        <v>274</v>
      </c>
      <c r="B42" t="s">
        <v>144</v>
      </c>
      <c r="D42" s="9">
        <v>0</v>
      </c>
      <c r="E42" s="9">
        <v>0</v>
      </c>
      <c r="F42" s="9">
        <v>2000</v>
      </c>
      <c r="G42" s="9">
        <v>0</v>
      </c>
      <c r="H42" s="9">
        <v>1000</v>
      </c>
      <c r="I42" s="9">
        <v>770.42</v>
      </c>
      <c r="J42" s="9">
        <v>1000</v>
      </c>
    </row>
    <row r="43" spans="1:10" x14ac:dyDescent="0.25">
      <c r="A43" t="s">
        <v>275</v>
      </c>
      <c r="B43" t="s">
        <v>146</v>
      </c>
      <c r="D43" s="9">
        <v>500</v>
      </c>
      <c r="E43" s="9">
        <v>175.14</v>
      </c>
      <c r="F43" s="9">
        <v>500</v>
      </c>
      <c r="G43" s="9">
        <v>500</v>
      </c>
      <c r="H43" s="9">
        <v>500</v>
      </c>
      <c r="I43" s="9">
        <v>535.91</v>
      </c>
      <c r="J43" s="9">
        <v>500</v>
      </c>
    </row>
    <row r="44" spans="1:10" x14ac:dyDescent="0.25">
      <c r="A44" t="s">
        <v>6</v>
      </c>
      <c r="D44" s="9"/>
      <c r="E44" s="9"/>
      <c r="F44" s="9"/>
      <c r="G44" s="9"/>
      <c r="H44" s="9"/>
      <c r="I44" s="9"/>
      <c r="J44" s="9"/>
    </row>
    <row r="45" spans="1:10" x14ac:dyDescent="0.25">
      <c r="A45" t="s">
        <v>591</v>
      </c>
      <c r="B45" t="s">
        <v>10</v>
      </c>
      <c r="D45" s="9">
        <v>5000</v>
      </c>
      <c r="E45" s="9">
        <v>17218.849999999999</v>
      </c>
      <c r="F45" s="9">
        <v>5000</v>
      </c>
      <c r="G45" s="9">
        <v>170311.01</v>
      </c>
      <c r="H45" s="9">
        <v>5000</v>
      </c>
      <c r="I45" s="9">
        <v>19374.05</v>
      </c>
      <c r="J45" s="9">
        <v>5000</v>
      </c>
    </row>
    <row r="46" spans="1:10" x14ac:dyDescent="0.25">
      <c r="A46" t="s">
        <v>276</v>
      </c>
      <c r="B46" t="s">
        <v>92</v>
      </c>
      <c r="D46" s="9">
        <v>1300</v>
      </c>
      <c r="E46" s="9">
        <v>1944</v>
      </c>
      <c r="F46" s="9">
        <v>1300</v>
      </c>
      <c r="G46" s="9">
        <v>1944</v>
      </c>
      <c r="H46" s="9">
        <v>1300</v>
      </c>
      <c r="I46" s="9">
        <v>2137.86</v>
      </c>
      <c r="J46" s="9">
        <v>1300</v>
      </c>
    </row>
    <row r="47" spans="1:10" x14ac:dyDescent="0.25">
      <c r="A47" t="s">
        <v>5</v>
      </c>
      <c r="D47" s="9"/>
      <c r="E47" s="9"/>
      <c r="F47" s="9"/>
      <c r="G47" s="9"/>
      <c r="H47" s="9"/>
      <c r="I47" s="9"/>
      <c r="J47" s="9"/>
    </row>
    <row r="48" spans="1:10" x14ac:dyDescent="0.25">
      <c r="A48" t="s">
        <v>277</v>
      </c>
      <c r="B48" t="s">
        <v>87</v>
      </c>
      <c r="D48" s="9">
        <v>1300</v>
      </c>
      <c r="E48" s="9">
        <v>1067.19</v>
      </c>
      <c r="F48" s="9">
        <v>1300</v>
      </c>
      <c r="G48" s="9">
        <v>1231.77</v>
      </c>
      <c r="H48" s="9">
        <v>1300</v>
      </c>
      <c r="I48" s="9">
        <v>1273.08</v>
      </c>
      <c r="J48" s="9">
        <v>1300</v>
      </c>
    </row>
    <row r="49" spans="1:10" x14ac:dyDescent="0.25">
      <c r="A49" t="s">
        <v>132</v>
      </c>
      <c r="D49" s="9"/>
      <c r="E49" s="9"/>
      <c r="F49" s="9"/>
      <c r="G49" s="9"/>
      <c r="H49" s="9"/>
      <c r="I49" s="9"/>
      <c r="J49" s="9"/>
    </row>
    <row r="50" spans="1:10" x14ac:dyDescent="0.25">
      <c r="A50" t="s">
        <v>278</v>
      </c>
      <c r="B50" t="s">
        <v>133</v>
      </c>
      <c r="D50" s="9">
        <v>0</v>
      </c>
      <c r="E50" s="9">
        <v>0</v>
      </c>
      <c r="F50" s="9">
        <v>0</v>
      </c>
      <c r="G50" s="9">
        <v>232.4</v>
      </c>
      <c r="H50" s="9">
        <v>0</v>
      </c>
      <c r="I50" s="9">
        <v>72</v>
      </c>
      <c r="J50" s="9">
        <v>0</v>
      </c>
    </row>
    <row r="51" spans="1:10" x14ac:dyDescent="0.25">
      <c r="A51" t="s">
        <v>126</v>
      </c>
      <c r="D51" s="9"/>
      <c r="E51" s="9"/>
      <c r="F51" s="9"/>
      <c r="G51" s="9"/>
      <c r="H51" s="9"/>
      <c r="I51" s="9"/>
      <c r="J51" s="9"/>
    </row>
    <row r="52" spans="1:10" x14ac:dyDescent="0.25">
      <c r="A52" t="s">
        <v>279</v>
      </c>
      <c r="B52" t="s">
        <v>84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x14ac:dyDescent="0.25">
      <c r="A53" t="s">
        <v>280</v>
      </c>
      <c r="B53" t="s">
        <v>129</v>
      </c>
      <c r="D53" s="9">
        <v>2300</v>
      </c>
      <c r="E53" s="9">
        <v>2354</v>
      </c>
      <c r="F53" s="9">
        <v>2000</v>
      </c>
      <c r="G53" s="9">
        <v>1875</v>
      </c>
      <c r="H53" s="9">
        <v>2000</v>
      </c>
      <c r="I53" s="9">
        <v>1771</v>
      </c>
      <c r="J53" s="9">
        <v>5000</v>
      </c>
    </row>
    <row r="54" spans="1:10" x14ac:dyDescent="0.25">
      <c r="A54" t="s">
        <v>119</v>
      </c>
      <c r="D54" s="9"/>
      <c r="E54" s="9"/>
      <c r="F54" s="9"/>
      <c r="G54" s="9"/>
      <c r="H54" s="9"/>
      <c r="I54" s="9"/>
      <c r="J54" s="9"/>
    </row>
    <row r="55" spans="1:10" x14ac:dyDescent="0.25">
      <c r="A55" t="s">
        <v>281</v>
      </c>
      <c r="B55" t="s">
        <v>120</v>
      </c>
      <c r="D55" s="9">
        <v>10000</v>
      </c>
      <c r="E55" s="9">
        <v>7198.65</v>
      </c>
      <c r="F55" s="9">
        <v>10000</v>
      </c>
      <c r="G55" s="9">
        <v>10361.43</v>
      </c>
      <c r="H55" s="9">
        <v>10000</v>
      </c>
      <c r="I55" s="9">
        <v>10369.31</v>
      </c>
      <c r="J55" s="9">
        <v>10000</v>
      </c>
    </row>
    <row r="56" spans="1:10" x14ac:dyDescent="0.25">
      <c r="A56" t="s">
        <v>282</v>
      </c>
      <c r="B56" t="s">
        <v>121</v>
      </c>
      <c r="D56" s="9">
        <v>300</v>
      </c>
      <c r="E56" s="9">
        <v>189.74</v>
      </c>
      <c r="F56" s="9">
        <v>300</v>
      </c>
      <c r="G56" s="9">
        <v>202.39</v>
      </c>
      <c r="H56" s="9">
        <v>300</v>
      </c>
      <c r="I56" s="9">
        <v>204.88</v>
      </c>
      <c r="J56" s="9">
        <v>300</v>
      </c>
    </row>
    <row r="57" spans="1:10" x14ac:dyDescent="0.25">
      <c r="A57" t="s">
        <v>283</v>
      </c>
      <c r="B57" t="s">
        <v>122</v>
      </c>
      <c r="D57" s="9">
        <v>0</v>
      </c>
      <c r="E57" s="9">
        <v>0</v>
      </c>
      <c r="F57" s="9">
        <v>0</v>
      </c>
      <c r="G57" s="9">
        <v>20.22</v>
      </c>
      <c r="H57" s="9">
        <v>0</v>
      </c>
      <c r="I57" s="9">
        <v>0</v>
      </c>
      <c r="J57" s="9">
        <v>0</v>
      </c>
    </row>
    <row r="58" spans="1:10" x14ac:dyDescent="0.25">
      <c r="A58" t="s">
        <v>284</v>
      </c>
      <c r="B58" t="s">
        <v>123</v>
      </c>
      <c r="D58" s="9">
        <v>1200</v>
      </c>
      <c r="E58" s="9">
        <v>893.85</v>
      </c>
      <c r="F58" s="9">
        <v>1200</v>
      </c>
      <c r="G58" s="9">
        <v>1071.8499999999999</v>
      </c>
      <c r="H58" s="9">
        <v>1200</v>
      </c>
      <c r="I58" s="9">
        <v>1081.7</v>
      </c>
      <c r="J58" s="9">
        <v>1200</v>
      </c>
    </row>
    <row r="59" spans="1:10" x14ac:dyDescent="0.25">
      <c r="A59" t="s">
        <v>285</v>
      </c>
      <c r="B59" t="s">
        <v>124</v>
      </c>
      <c r="D59" s="9">
        <v>300</v>
      </c>
      <c r="E59" s="9">
        <v>222.41</v>
      </c>
      <c r="F59" s="9">
        <v>300</v>
      </c>
      <c r="G59" s="9">
        <v>226.02</v>
      </c>
      <c r="H59" s="9">
        <v>300</v>
      </c>
      <c r="I59" s="9">
        <v>243.1</v>
      </c>
      <c r="J59" s="9">
        <v>300</v>
      </c>
    </row>
    <row r="60" spans="1:10" x14ac:dyDescent="0.25">
      <c r="A60" t="s">
        <v>490</v>
      </c>
      <c r="D60" s="9"/>
      <c r="E60" s="9"/>
      <c r="F60" s="9"/>
      <c r="G60" s="9"/>
      <c r="H60" s="9"/>
      <c r="I60" s="9"/>
      <c r="J60" s="9"/>
    </row>
    <row r="61" spans="1:10" x14ac:dyDescent="0.25">
      <c r="A61" t="s">
        <v>1009</v>
      </c>
      <c r="B61" t="s">
        <v>1010</v>
      </c>
      <c r="D61" s="9">
        <v>20000</v>
      </c>
      <c r="E61" s="9">
        <v>159918.71</v>
      </c>
      <c r="F61" s="9">
        <v>0</v>
      </c>
      <c r="G61" s="9">
        <v>20609</v>
      </c>
      <c r="H61" s="9">
        <v>10000</v>
      </c>
      <c r="I61" s="9">
        <v>106125.1</v>
      </c>
      <c r="J61" s="9">
        <v>0</v>
      </c>
    </row>
    <row r="62" spans="1:10" x14ac:dyDescent="0.25">
      <c r="A62" t="s">
        <v>114</v>
      </c>
      <c r="D62" s="9"/>
      <c r="E62" s="9"/>
      <c r="F62" s="9"/>
      <c r="G62" s="9"/>
      <c r="H62" s="9"/>
      <c r="I62" s="9"/>
      <c r="J62" s="9"/>
    </row>
    <row r="63" spans="1:10" x14ac:dyDescent="0.25">
      <c r="A63" t="s">
        <v>651</v>
      </c>
      <c r="B63" t="s">
        <v>495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x14ac:dyDescent="0.25">
      <c r="A64" t="s">
        <v>286</v>
      </c>
      <c r="B64" t="s">
        <v>869</v>
      </c>
      <c r="D64" s="34">
        <v>166000</v>
      </c>
      <c r="E64" s="9">
        <v>225541.64</v>
      </c>
      <c r="F64" s="9">
        <v>105000</v>
      </c>
      <c r="G64" s="9">
        <v>567778.68999999994</v>
      </c>
      <c r="H64" s="9">
        <v>325000</v>
      </c>
      <c r="I64" s="9">
        <v>91590.45</v>
      </c>
      <c r="J64" s="9">
        <v>105000</v>
      </c>
    </row>
    <row r="65" spans="1:13" x14ac:dyDescent="0.25">
      <c r="A65" t="s">
        <v>287</v>
      </c>
      <c r="B65" t="s">
        <v>118</v>
      </c>
      <c r="D65" s="9">
        <v>5000</v>
      </c>
      <c r="E65" s="9">
        <v>2040</v>
      </c>
      <c r="F65" s="9">
        <v>10000</v>
      </c>
      <c r="G65" s="9">
        <v>8616</v>
      </c>
      <c r="H65" s="9">
        <v>10000</v>
      </c>
      <c r="I65" s="9">
        <v>4020.5</v>
      </c>
      <c r="J65" s="9">
        <v>0</v>
      </c>
    </row>
    <row r="66" spans="1:13" x14ac:dyDescent="0.25">
      <c r="A66" s="24" t="s">
        <v>1299</v>
      </c>
      <c r="B66" s="24" t="s">
        <v>112</v>
      </c>
      <c r="D66" s="9">
        <v>0</v>
      </c>
      <c r="E66" s="9">
        <v>662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</row>
    <row r="67" spans="1:13" x14ac:dyDescent="0.25">
      <c r="A67" t="s">
        <v>105</v>
      </c>
      <c r="D67" s="9"/>
      <c r="E67" s="9"/>
      <c r="F67" s="9"/>
      <c r="G67" s="9"/>
      <c r="H67" s="9"/>
      <c r="I67" s="9"/>
      <c r="J67" s="9"/>
    </row>
    <row r="68" spans="1:13" x14ac:dyDescent="0.25">
      <c r="A68" t="s">
        <v>288</v>
      </c>
      <c r="B68" t="s">
        <v>91</v>
      </c>
      <c r="D68" s="9">
        <v>0</v>
      </c>
      <c r="E68" s="9">
        <v>130.32</v>
      </c>
      <c r="F68" s="9">
        <v>0</v>
      </c>
      <c r="G68" s="9">
        <v>0</v>
      </c>
      <c r="H68" s="9">
        <v>0</v>
      </c>
      <c r="I68" s="9">
        <v>96</v>
      </c>
      <c r="J68" s="9">
        <v>0</v>
      </c>
      <c r="M68" s="19"/>
    </row>
    <row r="69" spans="1:13" x14ac:dyDescent="0.25">
      <c r="A69" s="24" t="s">
        <v>1376</v>
      </c>
      <c r="B69" s="24" t="s">
        <v>1193</v>
      </c>
      <c r="D69" s="9">
        <v>0</v>
      </c>
      <c r="E69" s="9">
        <v>33.25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M69" s="19"/>
    </row>
    <row r="70" spans="1:13" x14ac:dyDescent="0.25">
      <c r="D70" s="9"/>
      <c r="E70" s="9"/>
      <c r="F70" s="9"/>
      <c r="G70" s="9"/>
      <c r="H70" s="9"/>
      <c r="I70" s="9"/>
      <c r="J70" s="9"/>
    </row>
    <row r="71" spans="1:13" x14ac:dyDescent="0.25">
      <c r="B71" s="22" t="s">
        <v>57</v>
      </c>
      <c r="D71" s="9">
        <f t="shared" ref="D71:I71" si="0">SUM(D17:D69)</f>
        <v>337702.71759999997</v>
      </c>
      <c r="E71" s="9">
        <f t="shared" si="0"/>
        <v>504788.42</v>
      </c>
      <c r="F71" s="9">
        <f t="shared" si="0"/>
        <v>262271.23200000002</v>
      </c>
      <c r="G71" s="9">
        <f t="shared" si="0"/>
        <v>907501.28</v>
      </c>
      <c r="H71" s="9">
        <f t="shared" si="0"/>
        <v>480205.99</v>
      </c>
      <c r="I71" s="9">
        <f t="shared" si="0"/>
        <v>423535.25000000006</v>
      </c>
      <c r="J71" s="9">
        <f t="shared" ref="J71" si="1">SUM(J17:J70)</f>
        <v>236584.09519999998</v>
      </c>
    </row>
    <row r="72" spans="1:13" x14ac:dyDescent="0.25">
      <c r="A72" s="10"/>
      <c r="F72" s="9"/>
      <c r="G72" s="9"/>
    </row>
    <row r="73" spans="1:13" x14ac:dyDescent="0.25">
      <c r="B73" s="43" t="s">
        <v>776</v>
      </c>
      <c r="F73" s="9"/>
      <c r="G73" s="9"/>
      <c r="I73" s="9">
        <v>70262.559999999998</v>
      </c>
    </row>
    <row r="74" spans="1:13" x14ac:dyDescent="0.25">
      <c r="B74" s="43"/>
    </row>
    <row r="75" spans="1:13" x14ac:dyDescent="0.25">
      <c r="A75" s="24" t="s">
        <v>772</v>
      </c>
    </row>
    <row r="76" spans="1:13" x14ac:dyDescent="0.25">
      <c r="A76" s="24"/>
    </row>
    <row r="77" spans="1:13" x14ac:dyDescent="0.25">
      <c r="A77" s="110" t="s">
        <v>1049</v>
      </c>
    </row>
    <row r="78" spans="1:13" x14ac:dyDescent="0.25">
      <c r="A78" s="24" t="s">
        <v>1038</v>
      </c>
    </row>
    <row r="79" spans="1:13" x14ac:dyDescent="0.25">
      <c r="A79" s="24" t="s">
        <v>1060</v>
      </c>
    </row>
    <row r="80" spans="1:13" x14ac:dyDescent="0.25">
      <c r="A80" s="24" t="s">
        <v>1104</v>
      </c>
    </row>
    <row r="81" spans="1:2" x14ac:dyDescent="0.25">
      <c r="A81" s="24"/>
    </row>
    <row r="82" spans="1:2" x14ac:dyDescent="0.25">
      <c r="A82" s="24"/>
    </row>
    <row r="83" spans="1:2" x14ac:dyDescent="0.25">
      <c r="A83" s="110" t="s">
        <v>1109</v>
      </c>
    </row>
    <row r="84" spans="1:2" x14ac:dyDescent="0.25">
      <c r="A84" s="54" t="s">
        <v>1105</v>
      </c>
    </row>
    <row r="85" spans="1:2" x14ac:dyDescent="0.25">
      <c r="A85" s="54" t="s">
        <v>1106</v>
      </c>
      <c r="B85" s="24" t="s">
        <v>1110</v>
      </c>
    </row>
    <row r="86" spans="1:2" x14ac:dyDescent="0.25">
      <c r="A86" s="54" t="s">
        <v>1148</v>
      </c>
    </row>
    <row r="87" spans="1:2" x14ac:dyDescent="0.25">
      <c r="A87" s="24" t="s">
        <v>1059</v>
      </c>
    </row>
    <row r="88" spans="1:2" x14ac:dyDescent="0.25">
      <c r="A88" s="24"/>
    </row>
    <row r="89" spans="1:2" x14ac:dyDescent="0.25">
      <c r="A89" s="110" t="s">
        <v>1125</v>
      </c>
    </row>
    <row r="90" spans="1:2" x14ac:dyDescent="0.25">
      <c r="A90" s="24" t="s">
        <v>1206</v>
      </c>
    </row>
    <row r="91" spans="1:2" x14ac:dyDescent="0.25">
      <c r="A91" s="24" t="s">
        <v>1207</v>
      </c>
    </row>
    <row r="92" spans="1:2" x14ac:dyDescent="0.25">
      <c r="A92" s="24" t="s">
        <v>1208</v>
      </c>
    </row>
    <row r="93" spans="1:2" x14ac:dyDescent="0.25">
      <c r="A93" s="126" t="s">
        <v>1232</v>
      </c>
    </row>
    <row r="94" spans="1:2" x14ac:dyDescent="0.25">
      <c r="A94" s="126" t="s">
        <v>1231</v>
      </c>
    </row>
    <row r="95" spans="1:2" x14ac:dyDescent="0.25">
      <c r="A95" s="24" t="s">
        <v>1059</v>
      </c>
    </row>
    <row r="97" spans="1:1" x14ac:dyDescent="0.25">
      <c r="A97" s="110" t="s">
        <v>1273</v>
      </c>
    </row>
    <row r="98" spans="1:1" x14ac:dyDescent="0.25">
      <c r="A98" s="126" t="s">
        <v>1332</v>
      </c>
    </row>
    <row r="99" spans="1:1" x14ac:dyDescent="0.25">
      <c r="A99" s="24" t="s">
        <v>1380</v>
      </c>
    </row>
    <row r="100" spans="1:1" x14ac:dyDescent="0.25">
      <c r="A100" s="161" t="s">
        <v>1334</v>
      </c>
    </row>
    <row r="101" spans="1:1" x14ac:dyDescent="0.25">
      <c r="A101" s="24" t="s">
        <v>1335</v>
      </c>
    </row>
    <row r="102" spans="1:1" x14ac:dyDescent="0.25">
      <c r="A102" s="161" t="s">
        <v>1336</v>
      </c>
    </row>
    <row r="103" spans="1:1" x14ac:dyDescent="0.25">
      <c r="A103" s="24" t="s">
        <v>1348</v>
      </c>
    </row>
    <row r="104" spans="1:1" x14ac:dyDescent="0.25">
      <c r="A104" s="24" t="s">
        <v>1379</v>
      </c>
    </row>
    <row r="106" spans="1:1" x14ac:dyDescent="0.25">
      <c r="A106" s="110" t="s">
        <v>1281</v>
      </c>
    </row>
    <row r="107" spans="1:1" x14ac:dyDescent="0.25">
      <c r="A107" s="24" t="s">
        <v>1400</v>
      </c>
    </row>
    <row r="108" spans="1:1" x14ac:dyDescent="0.25">
      <c r="A108" s="24" t="s">
        <v>1399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8"/>
  <sheetViews>
    <sheetView workbookViewId="0">
      <selection activeCell="D13" sqref="D13"/>
    </sheetView>
  </sheetViews>
  <sheetFormatPr defaultRowHeight="13.2" x14ac:dyDescent="0.25"/>
  <cols>
    <col min="1" max="1" width="15.33203125" bestFit="1" customWidth="1"/>
    <col min="2" max="2" width="28.5546875" bestFit="1" customWidth="1"/>
    <col min="3" max="3" width="3.6640625" customWidth="1"/>
    <col min="4" max="9" width="11.6640625" customWidth="1"/>
  </cols>
  <sheetData>
    <row r="1" spans="1:9" ht="15.6" x14ac:dyDescent="0.3">
      <c r="B1" s="11" t="s">
        <v>995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</row>
    <row r="2" spans="1:9" x14ac:dyDescent="0.25">
      <c r="D2" s="1" t="s">
        <v>501</v>
      </c>
      <c r="E2" s="1" t="s">
        <v>1179</v>
      </c>
      <c r="F2" s="36" t="s">
        <v>501</v>
      </c>
      <c r="G2" s="36" t="s">
        <v>794</v>
      </c>
      <c r="H2" s="36" t="s">
        <v>501</v>
      </c>
      <c r="I2" s="36" t="s">
        <v>794</v>
      </c>
    </row>
    <row r="4" spans="1:9" x14ac:dyDescent="0.25">
      <c r="A4" s="24" t="s">
        <v>76</v>
      </c>
    </row>
    <row r="5" spans="1:9" x14ac:dyDescent="0.25">
      <c r="A5" s="24" t="s">
        <v>996</v>
      </c>
      <c r="B5" s="24" t="s">
        <v>997</v>
      </c>
      <c r="D5" s="9">
        <v>49000</v>
      </c>
      <c r="E5" s="9">
        <v>41787.15</v>
      </c>
      <c r="F5" s="9">
        <v>0</v>
      </c>
      <c r="G5" s="9">
        <v>48925.86</v>
      </c>
      <c r="H5" s="9">
        <v>0</v>
      </c>
      <c r="I5" s="9">
        <v>48397.04</v>
      </c>
    </row>
    <row r="6" spans="1:9" x14ac:dyDescent="0.25">
      <c r="A6" s="24"/>
      <c r="B6" s="24"/>
      <c r="D6" s="9"/>
      <c r="E6" s="9"/>
      <c r="F6" s="9"/>
      <c r="G6" s="9"/>
      <c r="H6" s="9"/>
      <c r="I6" s="9"/>
    </row>
    <row r="7" spans="1:9" x14ac:dyDescent="0.25">
      <c r="A7" s="24"/>
      <c r="B7" s="24" t="s">
        <v>57</v>
      </c>
      <c r="D7" s="9">
        <v>49000</v>
      </c>
      <c r="E7" s="9">
        <f>SUM(E5:E6)</f>
        <v>41787.15</v>
      </c>
      <c r="F7" s="9">
        <v>0</v>
      </c>
      <c r="G7" s="9">
        <f>SUM(G5:G6)</f>
        <v>48925.86</v>
      </c>
      <c r="H7" s="9">
        <v>0</v>
      </c>
      <c r="I7" s="9">
        <f>SUM(I5:I6)</f>
        <v>48397.04</v>
      </c>
    </row>
    <row r="8" spans="1:9" x14ac:dyDescent="0.25">
      <c r="D8" s="9"/>
      <c r="E8" s="9"/>
      <c r="F8" s="9"/>
      <c r="G8" s="9"/>
      <c r="H8" s="9"/>
      <c r="I8" s="9"/>
    </row>
    <row r="9" spans="1:9" x14ac:dyDescent="0.25">
      <c r="A9" t="s">
        <v>77</v>
      </c>
      <c r="D9" s="9"/>
      <c r="E9" s="9"/>
      <c r="F9" s="9"/>
      <c r="G9" s="9"/>
      <c r="H9" s="9"/>
      <c r="I9" s="9"/>
    </row>
    <row r="10" spans="1:9" x14ac:dyDescent="0.25">
      <c r="A10" t="s">
        <v>998</v>
      </c>
      <c r="B10" t="s">
        <v>999</v>
      </c>
      <c r="D10" s="9">
        <v>49000</v>
      </c>
      <c r="E10" s="9">
        <v>43780.1</v>
      </c>
      <c r="F10" s="9">
        <v>0</v>
      </c>
      <c r="G10" s="9">
        <v>48926</v>
      </c>
      <c r="H10" s="9">
        <v>0</v>
      </c>
      <c r="I10" s="9">
        <v>41863.08</v>
      </c>
    </row>
    <row r="11" spans="1:9" x14ac:dyDescent="0.25">
      <c r="D11" s="9"/>
      <c r="E11" s="9"/>
      <c r="F11" s="9"/>
      <c r="G11" s="9"/>
      <c r="H11" s="9"/>
      <c r="I11" s="9"/>
    </row>
    <row r="12" spans="1:9" x14ac:dyDescent="0.25">
      <c r="B12" s="22" t="s">
        <v>57</v>
      </c>
      <c r="D12" s="9">
        <v>49000</v>
      </c>
      <c r="E12" s="9">
        <f>SUM(E10:E11)</f>
        <v>43780.1</v>
      </c>
      <c r="F12" s="9">
        <v>0</v>
      </c>
      <c r="G12" s="9">
        <f>SUM(G10:G11)</f>
        <v>48926</v>
      </c>
      <c r="H12" s="9">
        <v>0</v>
      </c>
      <c r="I12" s="9">
        <f>SUM(I10:I11)</f>
        <v>41863.08</v>
      </c>
    </row>
    <row r="18" spans="1:1" x14ac:dyDescent="0.25">
      <c r="A18" t="s">
        <v>1061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76"/>
  <sheetViews>
    <sheetView topLeftCell="A46" workbookViewId="0">
      <selection activeCell="F47" sqref="F47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10" width="11.6640625" customWidth="1"/>
  </cols>
  <sheetData>
    <row r="1" spans="1:10" ht="15.6" x14ac:dyDescent="0.3">
      <c r="B1" s="11" t="s">
        <v>482</v>
      </c>
      <c r="D1" s="1">
        <v>2021</v>
      </c>
      <c r="E1" s="1">
        <v>2020</v>
      </c>
      <c r="F1" s="1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0" ht="13.5" customHeight="1" x14ac:dyDescent="0.25">
      <c r="D2" s="1" t="s">
        <v>501</v>
      </c>
      <c r="E2" s="1" t="s">
        <v>1370</v>
      </c>
      <c r="F2" s="1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3" spans="1:10" ht="13.5" customHeight="1" x14ac:dyDescent="0.25">
      <c r="A3" t="s">
        <v>76</v>
      </c>
    </row>
    <row r="4" spans="1:10" ht="13.5" customHeight="1" x14ac:dyDescent="0.25">
      <c r="A4" s="24" t="s">
        <v>1300</v>
      </c>
      <c r="B4" s="24" t="s">
        <v>852</v>
      </c>
      <c r="D4" s="9">
        <v>50</v>
      </c>
      <c r="E4" s="9">
        <v>116.96</v>
      </c>
      <c r="F4" s="9">
        <v>0</v>
      </c>
      <c r="G4" s="9">
        <v>0</v>
      </c>
      <c r="H4" s="9">
        <v>0</v>
      </c>
      <c r="I4" s="9">
        <v>0</v>
      </c>
      <c r="J4" s="9">
        <v>0</v>
      </c>
    </row>
    <row r="5" spans="1:10" ht="13.5" customHeight="1" x14ac:dyDescent="0.25">
      <c r="A5" t="s">
        <v>1003</v>
      </c>
      <c r="B5" s="24" t="s">
        <v>1301</v>
      </c>
      <c r="D5" s="135">
        <v>2000</v>
      </c>
      <c r="E5" s="9">
        <v>5048.38</v>
      </c>
      <c r="F5" s="34">
        <v>1500</v>
      </c>
      <c r="G5" s="9">
        <f>25+2268.08</f>
        <v>2293.08</v>
      </c>
      <c r="H5" s="9">
        <v>6200</v>
      </c>
      <c r="I5" s="9">
        <f>88.88+626.82</f>
        <v>715.7</v>
      </c>
      <c r="J5" s="9">
        <v>1200</v>
      </c>
    </row>
    <row r="6" spans="1:10" ht="13.5" customHeight="1" x14ac:dyDescent="0.25">
      <c r="A6" t="s">
        <v>1002</v>
      </c>
      <c r="B6" t="s">
        <v>949</v>
      </c>
      <c r="D6" s="9">
        <v>10000</v>
      </c>
      <c r="E6" s="9">
        <v>755</v>
      </c>
      <c r="F6" s="34">
        <v>10000</v>
      </c>
      <c r="G6" s="9">
        <v>10828.4</v>
      </c>
      <c r="H6" s="9">
        <v>5000</v>
      </c>
      <c r="I6" s="9">
        <v>13939.69</v>
      </c>
      <c r="J6" s="9">
        <v>5000</v>
      </c>
    </row>
    <row r="7" spans="1:10" ht="13.5" customHeight="1" x14ac:dyDescent="0.25">
      <c r="A7" s="24" t="s">
        <v>1188</v>
      </c>
      <c r="B7" s="24" t="s">
        <v>1189</v>
      </c>
      <c r="D7" s="9">
        <v>7000</v>
      </c>
      <c r="E7" s="9">
        <v>6724.22</v>
      </c>
      <c r="F7" s="34">
        <v>7000</v>
      </c>
      <c r="G7" s="9">
        <v>6998.54</v>
      </c>
      <c r="H7" s="9">
        <v>0</v>
      </c>
      <c r="I7" s="9">
        <v>0</v>
      </c>
      <c r="J7" s="9">
        <v>0</v>
      </c>
    </row>
    <row r="8" spans="1:10" ht="13.5" customHeight="1" x14ac:dyDescent="0.25">
      <c r="D8" s="9"/>
      <c r="E8" s="9"/>
      <c r="F8" s="34"/>
      <c r="G8" s="9"/>
      <c r="H8" s="9"/>
      <c r="I8" s="9"/>
      <c r="J8" s="9"/>
    </row>
    <row r="9" spans="1:10" ht="13.5" customHeight="1" x14ac:dyDescent="0.25">
      <c r="B9" s="26" t="s">
        <v>57</v>
      </c>
      <c r="D9" s="9">
        <f>SUM(D4:D8)</f>
        <v>19050</v>
      </c>
      <c r="E9" s="9">
        <f>SUM(E4:E8)</f>
        <v>12644.560000000001</v>
      </c>
      <c r="F9" s="34">
        <f>SUM(F5:F7)</f>
        <v>18500</v>
      </c>
      <c r="G9" s="9">
        <f>SUM(G5:G8)</f>
        <v>20120.02</v>
      </c>
      <c r="H9" s="9">
        <f>SUM(H5:H6)</f>
        <v>11200</v>
      </c>
      <c r="I9" s="9">
        <f>SUM(I5:I8)</f>
        <v>14655.390000000001</v>
      </c>
      <c r="J9" s="9">
        <f t="shared" ref="J9" si="0">SUM(J5:J8)</f>
        <v>6200</v>
      </c>
    </row>
    <row r="10" spans="1:10" ht="13.5" customHeight="1" x14ac:dyDescent="0.25">
      <c r="D10" s="9"/>
      <c r="E10" s="9"/>
      <c r="F10" s="34"/>
      <c r="G10" s="9"/>
      <c r="H10" s="9"/>
      <c r="I10" s="9"/>
    </row>
    <row r="11" spans="1:10" ht="13.5" customHeight="1" x14ac:dyDescent="0.25">
      <c r="D11" s="9"/>
      <c r="E11" s="9"/>
      <c r="F11" s="34"/>
      <c r="G11" s="9"/>
      <c r="H11" s="9"/>
      <c r="I11" s="9"/>
    </row>
    <row r="12" spans="1:10" ht="13.5" customHeight="1" x14ac:dyDescent="0.25">
      <c r="A12" t="s">
        <v>77</v>
      </c>
      <c r="D12" s="9"/>
      <c r="E12" s="9"/>
      <c r="F12" s="34"/>
      <c r="G12" s="9"/>
      <c r="H12" s="9"/>
      <c r="I12" s="9"/>
    </row>
    <row r="13" spans="1:10" x14ac:dyDescent="0.25">
      <c r="A13" t="s">
        <v>42</v>
      </c>
      <c r="D13" s="9"/>
      <c r="E13" s="9"/>
      <c r="F13" s="34"/>
      <c r="G13" s="9"/>
      <c r="H13" s="9"/>
      <c r="I13" s="9"/>
    </row>
    <row r="14" spans="1:10" x14ac:dyDescent="0.25">
      <c r="A14" t="s">
        <v>289</v>
      </c>
      <c r="B14" t="s">
        <v>180</v>
      </c>
      <c r="D14" s="9">
        <v>700</v>
      </c>
      <c r="E14" s="9">
        <v>517</v>
      </c>
      <c r="F14" s="34">
        <v>700</v>
      </c>
      <c r="G14" s="9">
        <v>676</v>
      </c>
      <c r="H14" s="9">
        <v>300</v>
      </c>
      <c r="I14" s="9">
        <v>655.95</v>
      </c>
      <c r="J14" s="9">
        <v>300</v>
      </c>
    </row>
    <row r="15" spans="1:10" x14ac:dyDescent="0.25">
      <c r="A15" t="s">
        <v>147</v>
      </c>
      <c r="D15" s="9"/>
      <c r="E15" s="9"/>
      <c r="F15" s="34"/>
      <c r="G15" s="9"/>
      <c r="H15" s="9"/>
      <c r="I15" s="9"/>
      <c r="J15" s="9"/>
    </row>
    <row r="16" spans="1:10" x14ac:dyDescent="0.25">
      <c r="A16" t="s">
        <v>518</v>
      </c>
      <c r="B16" t="s">
        <v>149</v>
      </c>
      <c r="D16" s="9">
        <v>500</v>
      </c>
      <c r="E16" s="9">
        <v>0</v>
      </c>
      <c r="F16" s="34">
        <v>500</v>
      </c>
      <c r="G16" s="9">
        <v>401.03</v>
      </c>
      <c r="H16" s="9">
        <v>500</v>
      </c>
      <c r="I16" s="9">
        <v>332.91</v>
      </c>
      <c r="J16" s="9">
        <v>500</v>
      </c>
    </row>
    <row r="17" spans="1:11" x14ac:dyDescent="0.25">
      <c r="A17" t="s">
        <v>290</v>
      </c>
      <c r="B17" t="s">
        <v>150</v>
      </c>
      <c r="D17" s="9">
        <v>0</v>
      </c>
      <c r="E17" s="9">
        <v>0</v>
      </c>
      <c r="F17" s="34">
        <v>0</v>
      </c>
      <c r="G17" s="9">
        <v>0</v>
      </c>
      <c r="H17" s="9">
        <v>0</v>
      </c>
      <c r="I17" s="9">
        <v>0</v>
      </c>
      <c r="J17" s="9">
        <v>0</v>
      </c>
    </row>
    <row r="18" spans="1:11" x14ac:dyDescent="0.25">
      <c r="A18" t="s">
        <v>291</v>
      </c>
      <c r="B18" t="s">
        <v>172</v>
      </c>
      <c r="D18" s="9">
        <v>0</v>
      </c>
      <c r="E18" s="9">
        <v>0</v>
      </c>
      <c r="F18" s="34">
        <v>0</v>
      </c>
      <c r="G18" s="9">
        <v>0</v>
      </c>
      <c r="H18" s="9">
        <v>0</v>
      </c>
      <c r="I18" s="9">
        <v>0</v>
      </c>
      <c r="J18" s="9">
        <v>0</v>
      </c>
    </row>
    <row r="19" spans="1:11" x14ac:dyDescent="0.25">
      <c r="A19" t="s">
        <v>292</v>
      </c>
      <c r="B19" t="s">
        <v>30</v>
      </c>
      <c r="D19" s="9">
        <v>100</v>
      </c>
      <c r="E19" s="9">
        <v>0</v>
      </c>
      <c r="F19" s="34">
        <v>100</v>
      </c>
      <c r="G19" s="9">
        <v>87.98</v>
      </c>
      <c r="H19" s="9">
        <v>200</v>
      </c>
      <c r="I19" s="9">
        <v>193.34</v>
      </c>
      <c r="J19" s="9">
        <v>100</v>
      </c>
    </row>
    <row r="20" spans="1:11" x14ac:dyDescent="0.25">
      <c r="A20" t="s">
        <v>293</v>
      </c>
      <c r="B20" t="s">
        <v>31</v>
      </c>
      <c r="D20" s="9">
        <v>1000</v>
      </c>
      <c r="E20" s="9">
        <v>2585</v>
      </c>
      <c r="F20" s="34">
        <v>1000</v>
      </c>
      <c r="G20" s="9">
        <v>1375.75</v>
      </c>
      <c r="H20" s="9">
        <v>1000</v>
      </c>
      <c r="I20" s="9">
        <v>2405.09</v>
      </c>
      <c r="J20" s="9">
        <v>1000</v>
      </c>
    </row>
    <row r="21" spans="1:11" x14ac:dyDescent="0.25">
      <c r="A21" t="s">
        <v>23</v>
      </c>
      <c r="D21" s="9"/>
      <c r="E21" s="9"/>
      <c r="F21" s="9"/>
      <c r="G21" s="9"/>
      <c r="H21" s="9"/>
      <c r="I21" s="9"/>
      <c r="J21" s="9"/>
    </row>
    <row r="22" spans="1:11" x14ac:dyDescent="0.25">
      <c r="A22" t="s">
        <v>294</v>
      </c>
      <c r="B22" t="s">
        <v>139</v>
      </c>
      <c r="D22" s="9">
        <v>4500</v>
      </c>
      <c r="E22" s="9">
        <v>1681.04</v>
      </c>
      <c r="F22" s="9">
        <v>2000</v>
      </c>
      <c r="G22" s="9">
        <v>2817.44</v>
      </c>
      <c r="H22" s="9">
        <v>2000</v>
      </c>
      <c r="I22" s="9">
        <v>2938.71</v>
      </c>
      <c r="J22" s="9">
        <v>1000</v>
      </c>
    </row>
    <row r="23" spans="1:11" x14ac:dyDescent="0.25">
      <c r="A23" s="24" t="s">
        <v>1377</v>
      </c>
      <c r="B23" s="24" t="s">
        <v>140</v>
      </c>
      <c r="D23" s="9">
        <v>0</v>
      </c>
      <c r="E23" s="9">
        <v>130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1" x14ac:dyDescent="0.25">
      <c r="A24" t="s">
        <v>519</v>
      </c>
      <c r="B24" t="s">
        <v>141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1" x14ac:dyDescent="0.25">
      <c r="A25" t="s">
        <v>295</v>
      </c>
      <c r="B25" t="s">
        <v>142</v>
      </c>
      <c r="D25" s="9">
        <v>1500</v>
      </c>
      <c r="E25" s="9">
        <v>0</v>
      </c>
      <c r="F25" s="9">
        <v>1500</v>
      </c>
      <c r="G25" s="9">
        <v>0</v>
      </c>
      <c r="H25" s="9">
        <v>1500</v>
      </c>
      <c r="I25" s="9">
        <v>0</v>
      </c>
      <c r="J25" s="9">
        <v>1500</v>
      </c>
    </row>
    <row r="26" spans="1:11" x14ac:dyDescent="0.25">
      <c r="A26" t="s">
        <v>296</v>
      </c>
      <c r="B26" t="s">
        <v>143</v>
      </c>
      <c r="D26" s="9">
        <v>5800</v>
      </c>
      <c r="E26" s="9">
        <v>3908.29</v>
      </c>
      <c r="F26" s="9">
        <v>5800</v>
      </c>
      <c r="G26" s="9">
        <v>5982.12</v>
      </c>
      <c r="H26" s="9">
        <v>3000</v>
      </c>
      <c r="I26" s="9">
        <v>8378.8799999999992</v>
      </c>
      <c r="J26" s="9">
        <v>3000</v>
      </c>
      <c r="K26" s="24"/>
    </row>
    <row r="27" spans="1:11" x14ac:dyDescent="0.25">
      <c r="A27" t="s">
        <v>297</v>
      </c>
      <c r="B27" t="s">
        <v>144</v>
      </c>
      <c r="D27" s="9">
        <v>0</v>
      </c>
      <c r="E27" s="9">
        <v>267.63</v>
      </c>
      <c r="F27" s="9">
        <v>0</v>
      </c>
      <c r="G27" s="9">
        <v>130</v>
      </c>
      <c r="H27" s="9">
        <v>0</v>
      </c>
      <c r="I27" s="9">
        <v>192.9</v>
      </c>
      <c r="J27" s="9">
        <v>0</v>
      </c>
    </row>
    <row r="28" spans="1:11" x14ac:dyDescent="0.25">
      <c r="A28" t="s">
        <v>298</v>
      </c>
      <c r="B28" t="s">
        <v>146</v>
      </c>
      <c r="D28" s="9">
        <v>0</v>
      </c>
      <c r="E28" s="9">
        <v>0</v>
      </c>
      <c r="F28" s="9">
        <v>0</v>
      </c>
      <c r="G28" s="9">
        <v>0</v>
      </c>
      <c r="H28" s="9">
        <v>500</v>
      </c>
      <c r="I28" s="9">
        <v>0</v>
      </c>
      <c r="J28" s="9">
        <v>0</v>
      </c>
    </row>
    <row r="29" spans="1:11" x14ac:dyDescent="0.25">
      <c r="A29" t="s">
        <v>6</v>
      </c>
      <c r="D29" s="9"/>
      <c r="E29" s="9"/>
      <c r="F29" s="9"/>
      <c r="G29" s="9"/>
      <c r="H29" s="9"/>
      <c r="I29" s="9"/>
      <c r="J29" s="9"/>
    </row>
    <row r="30" spans="1:11" x14ac:dyDescent="0.25">
      <c r="A30" s="24" t="s">
        <v>816</v>
      </c>
      <c r="B30" s="24" t="s">
        <v>10</v>
      </c>
      <c r="D30" s="9">
        <v>1000</v>
      </c>
      <c r="E30" s="9">
        <v>0</v>
      </c>
      <c r="F30" s="9">
        <v>1000</v>
      </c>
      <c r="G30" s="9">
        <v>0</v>
      </c>
      <c r="H30" s="9">
        <v>1000</v>
      </c>
      <c r="I30" s="9">
        <v>10708.97</v>
      </c>
      <c r="J30" s="9">
        <v>0</v>
      </c>
    </row>
    <row r="31" spans="1:11" x14ac:dyDescent="0.25">
      <c r="A31" t="s">
        <v>299</v>
      </c>
      <c r="B31" t="s">
        <v>797</v>
      </c>
      <c r="D31" s="9">
        <v>8000</v>
      </c>
      <c r="E31" s="9">
        <v>6242</v>
      </c>
      <c r="F31" s="9">
        <v>8000</v>
      </c>
      <c r="G31" s="9">
        <v>17933.25</v>
      </c>
      <c r="H31" s="9">
        <v>8000</v>
      </c>
      <c r="I31" s="9">
        <v>6532.51</v>
      </c>
      <c r="J31" s="9">
        <v>8000</v>
      </c>
    </row>
    <row r="32" spans="1:11" x14ac:dyDescent="0.25">
      <c r="A32" t="s">
        <v>126</v>
      </c>
      <c r="D32" s="9"/>
      <c r="E32" s="9"/>
      <c r="F32" s="9"/>
      <c r="G32" s="9"/>
      <c r="H32" s="9"/>
      <c r="I32" s="9"/>
      <c r="J32" s="9"/>
    </row>
    <row r="33" spans="1:10" x14ac:dyDescent="0.25">
      <c r="A33" t="s">
        <v>300</v>
      </c>
      <c r="B33" t="s">
        <v>84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x14ac:dyDescent="0.25">
      <c r="A34" t="s">
        <v>301</v>
      </c>
      <c r="B34" t="s">
        <v>128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x14ac:dyDescent="0.25">
      <c r="A35" t="s">
        <v>302</v>
      </c>
      <c r="B35" t="s">
        <v>129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x14ac:dyDescent="0.25">
      <c r="A36" t="s">
        <v>119</v>
      </c>
      <c r="D36" s="9"/>
      <c r="E36" s="9"/>
      <c r="F36" s="9"/>
      <c r="G36" s="9"/>
      <c r="H36" s="9"/>
      <c r="I36" s="9"/>
      <c r="J36" s="9"/>
    </row>
    <row r="37" spans="1:10" x14ac:dyDescent="0.25">
      <c r="A37" t="s">
        <v>303</v>
      </c>
      <c r="B37" t="s">
        <v>120</v>
      </c>
      <c r="D37" s="9">
        <v>4500</v>
      </c>
      <c r="E37" s="9">
        <v>3606.22</v>
      </c>
      <c r="F37" s="9">
        <v>4500</v>
      </c>
      <c r="G37" s="9">
        <v>5901.05</v>
      </c>
      <c r="H37" s="9">
        <v>4500</v>
      </c>
      <c r="I37" s="9">
        <v>5755.98</v>
      </c>
      <c r="J37" s="9">
        <v>4500</v>
      </c>
    </row>
    <row r="38" spans="1:10" x14ac:dyDescent="0.25">
      <c r="A38" t="s">
        <v>520</v>
      </c>
      <c r="B38" t="s">
        <v>121</v>
      </c>
      <c r="D38" s="9">
        <v>400</v>
      </c>
      <c r="E38" s="9">
        <v>309.42</v>
      </c>
      <c r="F38" s="9">
        <v>400</v>
      </c>
      <c r="G38" s="9">
        <v>375.26</v>
      </c>
      <c r="H38" s="9">
        <v>400</v>
      </c>
      <c r="I38" s="9">
        <v>699.01</v>
      </c>
      <c r="J38" s="9">
        <v>400</v>
      </c>
    </row>
    <row r="39" spans="1:10" x14ac:dyDescent="0.25">
      <c r="A39" t="s">
        <v>304</v>
      </c>
      <c r="B39" t="s">
        <v>122</v>
      </c>
      <c r="D39" s="9">
        <v>900</v>
      </c>
      <c r="E39" s="9">
        <v>588.41999999999996</v>
      </c>
      <c r="F39" s="9">
        <v>900</v>
      </c>
      <c r="G39" s="9">
        <v>1198.2</v>
      </c>
      <c r="H39" s="9">
        <v>800</v>
      </c>
      <c r="I39" s="9">
        <v>989.67</v>
      </c>
      <c r="J39" s="9">
        <v>800</v>
      </c>
    </row>
    <row r="40" spans="1:10" x14ac:dyDescent="0.25">
      <c r="A40" t="s">
        <v>305</v>
      </c>
      <c r="B40" t="s">
        <v>123</v>
      </c>
      <c r="D40" s="9">
        <v>2000</v>
      </c>
      <c r="E40" s="9">
        <v>2442.86</v>
      </c>
      <c r="F40" s="9">
        <v>2000</v>
      </c>
      <c r="G40" s="9">
        <v>2595.7800000000002</v>
      </c>
      <c r="H40" s="9">
        <v>2000</v>
      </c>
      <c r="I40" s="9">
        <v>2616.17</v>
      </c>
      <c r="J40" s="9">
        <v>2000</v>
      </c>
    </row>
    <row r="41" spans="1:10" x14ac:dyDescent="0.25">
      <c r="A41" t="s">
        <v>521</v>
      </c>
      <c r="B41" t="s">
        <v>124</v>
      </c>
      <c r="D41" s="9">
        <v>400</v>
      </c>
      <c r="E41" s="9">
        <v>310.82</v>
      </c>
      <c r="F41" s="9">
        <v>400</v>
      </c>
      <c r="G41" s="9">
        <v>399.14</v>
      </c>
      <c r="H41" s="9">
        <v>400</v>
      </c>
      <c r="I41" s="9">
        <v>512.91999999999996</v>
      </c>
      <c r="J41" s="9">
        <v>400</v>
      </c>
    </row>
    <row r="42" spans="1:10" x14ac:dyDescent="0.25">
      <c r="A42" s="24" t="s">
        <v>839</v>
      </c>
      <c r="D42" s="9"/>
      <c r="E42" s="9"/>
      <c r="F42" s="9"/>
      <c r="G42" s="9"/>
      <c r="H42" s="9"/>
      <c r="I42" s="9"/>
      <c r="J42" s="9"/>
    </row>
    <row r="43" spans="1:10" x14ac:dyDescent="0.25">
      <c r="A43" s="24" t="s">
        <v>984</v>
      </c>
      <c r="B43" s="24" t="s">
        <v>985</v>
      </c>
      <c r="D43" s="9">
        <v>0</v>
      </c>
      <c r="E43" s="9">
        <v>0</v>
      </c>
      <c r="F43" s="9">
        <v>0</v>
      </c>
      <c r="G43" s="9">
        <v>49.8</v>
      </c>
      <c r="H43" s="9">
        <v>0</v>
      </c>
      <c r="I43" s="9">
        <v>12.83</v>
      </c>
      <c r="J43" s="9">
        <v>0</v>
      </c>
    </row>
    <row r="44" spans="1:10" x14ac:dyDescent="0.25">
      <c r="A44" s="10" t="s">
        <v>490</v>
      </c>
      <c r="D44" s="9"/>
      <c r="E44" s="9"/>
      <c r="F44" s="9"/>
      <c r="G44" s="9"/>
      <c r="H44" s="9"/>
      <c r="I44" s="9"/>
      <c r="J44" s="9"/>
    </row>
    <row r="45" spans="1:10" x14ac:dyDescent="0.25">
      <c r="A45" s="24" t="s">
        <v>1011</v>
      </c>
      <c r="B45" t="s">
        <v>1010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x14ac:dyDescent="0.25">
      <c r="A46" s="10" t="s">
        <v>533</v>
      </c>
      <c r="B46" s="10" t="s">
        <v>534</v>
      </c>
      <c r="D46" s="9">
        <v>0</v>
      </c>
      <c r="E46" s="9">
        <v>0</v>
      </c>
      <c r="F46" s="9">
        <v>1000</v>
      </c>
      <c r="G46" s="9">
        <f>1274.51+399.95</f>
        <v>1674.46</v>
      </c>
      <c r="H46" s="9">
        <v>6000</v>
      </c>
      <c r="I46" s="9">
        <v>26828</v>
      </c>
      <c r="J46" s="9">
        <v>6000</v>
      </c>
    </row>
    <row r="47" spans="1:10" x14ac:dyDescent="0.25">
      <c r="A47" t="s">
        <v>114</v>
      </c>
      <c r="D47" s="9"/>
      <c r="E47" s="9"/>
      <c r="F47" s="9"/>
      <c r="G47" s="9"/>
      <c r="H47" s="9"/>
      <c r="I47" s="9"/>
      <c r="J47" s="9"/>
    </row>
    <row r="48" spans="1:10" x14ac:dyDescent="0.25">
      <c r="A48" t="s">
        <v>487</v>
      </c>
      <c r="B48" t="s">
        <v>876</v>
      </c>
      <c r="D48" s="34">
        <v>1500</v>
      </c>
      <c r="E48" s="9">
        <v>5400</v>
      </c>
      <c r="F48" s="9">
        <v>5000</v>
      </c>
      <c r="G48" s="9">
        <v>2676</v>
      </c>
      <c r="H48" s="9">
        <v>0</v>
      </c>
      <c r="I48" s="9">
        <v>0</v>
      </c>
      <c r="J48" s="9">
        <v>0</v>
      </c>
    </row>
    <row r="49" spans="1:10" x14ac:dyDescent="0.25">
      <c r="A49" t="s">
        <v>306</v>
      </c>
      <c r="B49" s="24" t="s">
        <v>117</v>
      </c>
      <c r="D49" s="9">
        <v>0</v>
      </c>
      <c r="E49" s="9">
        <v>15075</v>
      </c>
      <c r="F49" s="9">
        <v>17500</v>
      </c>
      <c r="G49" s="9">
        <v>32608.93</v>
      </c>
      <c r="H49" s="9">
        <v>6500</v>
      </c>
      <c r="I49" s="9">
        <v>27699.75</v>
      </c>
      <c r="J49" s="9">
        <v>6000</v>
      </c>
    </row>
    <row r="50" spans="1:10" x14ac:dyDescent="0.25">
      <c r="A50" t="s">
        <v>105</v>
      </c>
      <c r="D50" s="9"/>
      <c r="E50" s="9"/>
      <c r="F50" s="9"/>
      <c r="G50" s="9"/>
      <c r="H50" s="9"/>
      <c r="I50" s="9"/>
      <c r="J50" s="9"/>
    </row>
    <row r="51" spans="1:10" x14ac:dyDescent="0.25">
      <c r="A51" t="s">
        <v>307</v>
      </c>
      <c r="B51" t="s">
        <v>91</v>
      </c>
      <c r="D51" s="9">
        <v>0</v>
      </c>
      <c r="E51" s="9">
        <v>0</v>
      </c>
      <c r="F51" s="9">
        <v>0</v>
      </c>
      <c r="G51" s="9">
        <v>0</v>
      </c>
      <c r="H51" s="9">
        <v>75</v>
      </c>
      <c r="I51" s="9">
        <v>71.63</v>
      </c>
      <c r="J51" s="9">
        <v>0</v>
      </c>
    </row>
    <row r="52" spans="1:10" x14ac:dyDescent="0.25">
      <c r="A52" t="s">
        <v>308</v>
      </c>
      <c r="B52" t="s">
        <v>90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x14ac:dyDescent="0.25">
      <c r="A53" t="s">
        <v>309</v>
      </c>
      <c r="B53" t="s">
        <v>106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D54" s="9"/>
      <c r="E54" s="9"/>
      <c r="F54" s="9"/>
      <c r="G54" s="9"/>
      <c r="H54" s="9"/>
      <c r="I54" s="9"/>
      <c r="J54" s="9"/>
    </row>
    <row r="55" spans="1:10" x14ac:dyDescent="0.25">
      <c r="B55" s="22" t="s">
        <v>57</v>
      </c>
      <c r="D55" s="9">
        <f t="shared" ref="D55:I55" si="1">SUM(D14:D53)</f>
        <v>32800</v>
      </c>
      <c r="E55" s="9">
        <f t="shared" si="1"/>
        <v>43063.7</v>
      </c>
      <c r="F55" s="9">
        <f t="shared" si="1"/>
        <v>52300</v>
      </c>
      <c r="G55" s="9">
        <f t="shared" si="1"/>
        <v>76882.19</v>
      </c>
      <c r="H55" s="9">
        <f t="shared" si="1"/>
        <v>38675</v>
      </c>
      <c r="I55" s="9">
        <f t="shared" si="1"/>
        <v>97525.22</v>
      </c>
      <c r="J55" s="9">
        <f>SUM(J14:J54)</f>
        <v>35500</v>
      </c>
    </row>
    <row r="56" spans="1:10" x14ac:dyDescent="0.25">
      <c r="A56" s="10"/>
      <c r="H56" s="9"/>
    </row>
    <row r="57" spans="1:10" x14ac:dyDescent="0.25">
      <c r="A57" s="24" t="s">
        <v>986</v>
      </c>
    </row>
    <row r="58" spans="1:10" x14ac:dyDescent="0.25">
      <c r="A58" s="24"/>
    </row>
    <row r="60" spans="1:10" x14ac:dyDescent="0.25">
      <c r="A60" s="110" t="s">
        <v>1109</v>
      </c>
    </row>
    <row r="61" spans="1:10" x14ac:dyDescent="0.25">
      <c r="A61" s="24" t="s">
        <v>1039</v>
      </c>
    </row>
    <row r="62" spans="1:10" x14ac:dyDescent="0.25">
      <c r="A62" s="24" t="s">
        <v>1102</v>
      </c>
    </row>
    <row r="63" spans="1:10" x14ac:dyDescent="0.25">
      <c r="A63" s="24"/>
      <c r="J63" s="118"/>
    </row>
    <row r="65" spans="1:1" x14ac:dyDescent="0.25">
      <c r="A65" s="110" t="s">
        <v>1125</v>
      </c>
    </row>
    <row r="66" spans="1:1" x14ac:dyDescent="0.25">
      <c r="A66" s="126" t="s">
        <v>1154</v>
      </c>
    </row>
    <row r="67" spans="1:1" x14ac:dyDescent="0.25">
      <c r="A67" s="126" t="s">
        <v>1302</v>
      </c>
    </row>
    <row r="68" spans="1:1" x14ac:dyDescent="0.25">
      <c r="A68" s="24" t="s">
        <v>1225</v>
      </c>
    </row>
    <row r="69" spans="1:1" x14ac:dyDescent="0.25">
      <c r="A69" s="126" t="s">
        <v>1209</v>
      </c>
    </row>
    <row r="70" spans="1:1" x14ac:dyDescent="0.25">
      <c r="A70" s="126" t="s">
        <v>1226</v>
      </c>
    </row>
    <row r="71" spans="1:1" x14ac:dyDescent="0.25">
      <c r="A71" s="24" t="s">
        <v>1227</v>
      </c>
    </row>
    <row r="73" spans="1:1" x14ac:dyDescent="0.25">
      <c r="A73" s="110" t="s">
        <v>1273</v>
      </c>
    </row>
    <row r="74" spans="1:1" x14ac:dyDescent="0.25">
      <c r="A74" s="126" t="s">
        <v>1315</v>
      </c>
    </row>
    <row r="75" spans="1:1" x14ac:dyDescent="0.25">
      <c r="A75" s="24" t="s">
        <v>1378</v>
      </c>
    </row>
    <row r="76" spans="1:1" x14ac:dyDescent="0.25">
      <c r="A76" s="24" t="s">
        <v>1381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6"/>
  <sheetViews>
    <sheetView topLeftCell="A46" workbookViewId="0">
      <selection activeCell="D65" sqref="D65"/>
    </sheetView>
  </sheetViews>
  <sheetFormatPr defaultRowHeight="13.2" x14ac:dyDescent="0.25"/>
  <cols>
    <col min="1" max="1" width="26.88671875" customWidth="1"/>
    <col min="2" max="2" width="27.5546875" customWidth="1"/>
    <col min="3" max="3" width="1.6640625" customWidth="1"/>
    <col min="4" max="9" width="11.6640625" customWidth="1"/>
  </cols>
  <sheetData>
    <row r="1" spans="1:10" ht="15.6" x14ac:dyDescent="0.3">
      <c r="B1" s="11" t="s">
        <v>576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</row>
    <row r="2" spans="1:10" x14ac:dyDescent="0.25">
      <c r="D2" s="1" t="s">
        <v>501</v>
      </c>
      <c r="E2" s="1" t="s">
        <v>1370</v>
      </c>
      <c r="F2" s="36" t="s">
        <v>501</v>
      </c>
      <c r="G2" s="36" t="s">
        <v>794</v>
      </c>
      <c r="H2" s="36" t="s">
        <v>501</v>
      </c>
      <c r="I2" s="36" t="s">
        <v>794</v>
      </c>
    </row>
    <row r="3" spans="1:10" x14ac:dyDescent="0.25">
      <c r="A3" t="s">
        <v>76</v>
      </c>
    </row>
    <row r="4" spans="1:10" x14ac:dyDescent="0.25">
      <c r="A4" t="s">
        <v>861</v>
      </c>
      <c r="B4" t="s">
        <v>862</v>
      </c>
      <c r="D4" s="9">
        <v>1000</v>
      </c>
      <c r="E4" s="9">
        <v>558.27</v>
      </c>
      <c r="F4" s="9">
        <v>1000</v>
      </c>
      <c r="G4" s="9">
        <v>674.59</v>
      </c>
      <c r="H4" s="9">
        <v>1000</v>
      </c>
      <c r="I4" s="9">
        <v>1115.29</v>
      </c>
    </row>
    <row r="5" spans="1:10" x14ac:dyDescent="0.25">
      <c r="A5" t="s">
        <v>841</v>
      </c>
      <c r="B5" t="s">
        <v>842</v>
      </c>
      <c r="D5" s="9">
        <v>22000</v>
      </c>
      <c r="E5" s="9">
        <v>20658</v>
      </c>
      <c r="F5" s="34">
        <v>23000</v>
      </c>
      <c r="G5" s="9">
        <v>22413</v>
      </c>
      <c r="H5" s="34">
        <v>22000</v>
      </c>
      <c r="I5" s="9">
        <v>22089</v>
      </c>
      <c r="J5" s="34"/>
    </row>
    <row r="6" spans="1:10" x14ac:dyDescent="0.25">
      <c r="A6" s="24" t="s">
        <v>843</v>
      </c>
      <c r="B6" s="24" t="s">
        <v>844</v>
      </c>
      <c r="D6" s="9">
        <v>8000</v>
      </c>
      <c r="E6" s="9">
        <v>3611.67</v>
      </c>
      <c r="F6" s="34">
        <v>10000</v>
      </c>
      <c r="G6" s="9">
        <v>10353.200000000001</v>
      </c>
      <c r="H6" s="9">
        <v>11000</v>
      </c>
      <c r="I6" s="9">
        <v>12080.78</v>
      </c>
    </row>
    <row r="7" spans="1:10" x14ac:dyDescent="0.25">
      <c r="A7" s="24" t="s">
        <v>845</v>
      </c>
      <c r="B7" s="24" t="s">
        <v>846</v>
      </c>
      <c r="D7" s="9">
        <v>15000</v>
      </c>
      <c r="E7" s="9">
        <v>4217.99</v>
      </c>
      <c r="F7" s="34">
        <v>20000</v>
      </c>
      <c r="G7" s="9">
        <v>19713.669999999998</v>
      </c>
      <c r="H7" s="34">
        <v>17000</v>
      </c>
      <c r="I7" s="9">
        <v>17894.29</v>
      </c>
    </row>
    <row r="8" spans="1:10" x14ac:dyDescent="0.25">
      <c r="A8" s="24" t="s">
        <v>847</v>
      </c>
      <c r="B8" t="s">
        <v>848</v>
      </c>
      <c r="D8" s="9">
        <v>15000</v>
      </c>
      <c r="E8" s="9">
        <v>6167.02</v>
      </c>
      <c r="F8" s="34">
        <v>17000</v>
      </c>
      <c r="G8" s="9">
        <v>16672.52</v>
      </c>
      <c r="H8" s="34">
        <v>16000</v>
      </c>
      <c r="I8" s="9">
        <v>16541.53</v>
      </c>
    </row>
    <row r="9" spans="1:10" x14ac:dyDescent="0.25">
      <c r="A9" s="24" t="s">
        <v>863</v>
      </c>
      <c r="B9" t="s">
        <v>864</v>
      </c>
      <c r="D9" s="9"/>
      <c r="E9" s="9">
        <v>0</v>
      </c>
      <c r="F9" s="9">
        <v>0</v>
      </c>
      <c r="G9" s="9">
        <v>0</v>
      </c>
      <c r="H9" s="9">
        <v>0</v>
      </c>
      <c r="I9" s="9">
        <v>944.51</v>
      </c>
    </row>
    <row r="10" spans="1:10" x14ac:dyDescent="0.25">
      <c r="D10" s="9"/>
      <c r="E10" s="9"/>
      <c r="F10" s="9"/>
      <c r="G10" s="9"/>
      <c r="H10" s="9"/>
      <c r="I10" s="9"/>
    </row>
    <row r="11" spans="1:10" x14ac:dyDescent="0.25">
      <c r="B11" s="22" t="s">
        <v>57</v>
      </c>
      <c r="D11" s="9">
        <f>SUM(D4:D10)</f>
        <v>61000</v>
      </c>
      <c r="E11" s="9">
        <f>SUM(E4:E9)</f>
        <v>35212.949999999997</v>
      </c>
      <c r="F11" s="9">
        <f>SUM(F4:F9)</f>
        <v>71000</v>
      </c>
      <c r="G11" s="9">
        <f>SUM(G4:G9)</f>
        <v>69826.98</v>
      </c>
      <c r="H11" s="9">
        <f>SUM(H4:H9)</f>
        <v>67000</v>
      </c>
      <c r="I11" s="9">
        <f>SUM(I4:I9)</f>
        <v>70665.399999999994</v>
      </c>
    </row>
    <row r="12" spans="1:10" x14ac:dyDescent="0.25">
      <c r="B12" s="22"/>
      <c r="D12" s="9"/>
      <c r="E12" s="9"/>
      <c r="F12" s="9"/>
      <c r="G12" s="9"/>
      <c r="H12" s="9"/>
      <c r="I12" s="9"/>
    </row>
    <row r="13" spans="1:10" x14ac:dyDescent="0.25">
      <c r="A13" t="s">
        <v>77</v>
      </c>
      <c r="B13" s="22"/>
      <c r="D13" s="9"/>
      <c r="E13" s="9"/>
      <c r="F13" s="9"/>
      <c r="G13" s="9"/>
      <c r="H13" s="9"/>
      <c r="I13" s="9"/>
    </row>
    <row r="14" spans="1:10" x14ac:dyDescent="0.25">
      <c r="A14" t="s">
        <v>190</v>
      </c>
      <c r="D14" s="9"/>
      <c r="E14" s="9"/>
      <c r="F14" s="9"/>
      <c r="G14" s="9"/>
      <c r="H14" s="9"/>
      <c r="I14" s="9"/>
      <c r="J14" s="9"/>
    </row>
    <row r="15" spans="1:10" x14ac:dyDescent="0.25">
      <c r="A15" t="s">
        <v>310</v>
      </c>
      <c r="B15" t="s">
        <v>45</v>
      </c>
      <c r="D15" s="9">
        <v>70000</v>
      </c>
      <c r="E15" s="9">
        <v>57461.279999999999</v>
      </c>
      <c r="F15" s="9">
        <v>70000</v>
      </c>
      <c r="G15" s="9">
        <v>74214.55</v>
      </c>
      <c r="H15" s="9">
        <v>65000</v>
      </c>
      <c r="I15" s="9">
        <f>65112.3+356.82</f>
        <v>65469.120000000003</v>
      </c>
      <c r="J15" s="9"/>
    </row>
    <row r="16" spans="1:10" x14ac:dyDescent="0.25">
      <c r="A16" t="s">
        <v>663</v>
      </c>
      <c r="B16" t="s">
        <v>664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/>
    </row>
    <row r="17" spans="1:10" x14ac:dyDescent="0.25">
      <c r="A17" t="s">
        <v>186</v>
      </c>
      <c r="D17" s="9"/>
      <c r="E17" s="9"/>
      <c r="F17" s="9"/>
      <c r="G17" s="9"/>
      <c r="H17" s="9"/>
      <c r="I17" s="9"/>
      <c r="J17" s="9"/>
    </row>
    <row r="18" spans="1:10" x14ac:dyDescent="0.25">
      <c r="A18" t="s">
        <v>311</v>
      </c>
      <c r="B18" t="s">
        <v>80</v>
      </c>
      <c r="D18" s="9">
        <f>0.062*SUM(D15:D16)</f>
        <v>4340</v>
      </c>
      <c r="E18" s="9">
        <v>3562.64</v>
      </c>
      <c r="F18" s="9">
        <f>0.062*SUM(F15:F16)</f>
        <v>4340</v>
      </c>
      <c r="G18" s="9">
        <f>4601.24+154.66</f>
        <v>4755.8999999999996</v>
      </c>
      <c r="H18" s="9">
        <f>0.062*SUM(H15:H16)</f>
        <v>4030</v>
      </c>
      <c r="I18" s="9">
        <v>4059.07</v>
      </c>
      <c r="J18" s="9"/>
    </row>
    <row r="19" spans="1:10" x14ac:dyDescent="0.25">
      <c r="A19" t="s">
        <v>312</v>
      </c>
      <c r="B19" t="s">
        <v>82</v>
      </c>
      <c r="D19" s="9">
        <f>0.0145*SUM(D15:D16)</f>
        <v>1015</v>
      </c>
      <c r="E19" s="9">
        <v>833.25</v>
      </c>
      <c r="F19" s="9">
        <f>0.0145*SUM(F15:F16)</f>
        <v>1015</v>
      </c>
      <c r="G19" s="9">
        <v>1076.08</v>
      </c>
      <c r="H19" s="9">
        <f>0.0145*SUM(H15:H16)</f>
        <v>942.5</v>
      </c>
      <c r="I19" s="9">
        <v>949.34</v>
      </c>
      <c r="J19" s="9"/>
    </row>
    <row r="20" spans="1:10" x14ac:dyDescent="0.25">
      <c r="A20" t="s">
        <v>42</v>
      </c>
      <c r="D20" s="9"/>
      <c r="E20" s="9"/>
      <c r="F20" s="9"/>
      <c r="G20" s="9"/>
      <c r="H20" s="9"/>
      <c r="I20" s="9"/>
      <c r="J20" s="9"/>
    </row>
    <row r="21" spans="1:10" x14ac:dyDescent="0.25">
      <c r="A21" t="s">
        <v>313</v>
      </c>
      <c r="B21" t="s">
        <v>180</v>
      </c>
      <c r="D21" s="9">
        <v>3500</v>
      </c>
      <c r="E21" s="9">
        <v>3919</v>
      </c>
      <c r="F21" s="9">
        <v>3500</v>
      </c>
      <c r="G21" s="9">
        <v>3497</v>
      </c>
      <c r="H21" s="9">
        <v>3800</v>
      </c>
      <c r="I21" s="9">
        <v>3762.59</v>
      </c>
      <c r="J21" s="9"/>
    </row>
    <row r="22" spans="1:10" x14ac:dyDescent="0.25">
      <c r="A22" t="s">
        <v>32</v>
      </c>
      <c r="D22" s="9"/>
      <c r="E22" s="9"/>
      <c r="F22" s="9"/>
      <c r="G22" s="9"/>
      <c r="H22" s="9"/>
      <c r="I22" s="9"/>
      <c r="J22" s="9"/>
    </row>
    <row r="23" spans="1:10" x14ac:dyDescent="0.25">
      <c r="A23" t="s">
        <v>314</v>
      </c>
      <c r="B23" t="s">
        <v>33</v>
      </c>
      <c r="D23" s="9">
        <v>100</v>
      </c>
      <c r="E23" s="9">
        <v>0</v>
      </c>
      <c r="F23" s="9">
        <v>100</v>
      </c>
      <c r="G23" s="9">
        <v>0</v>
      </c>
      <c r="H23" s="9">
        <v>100</v>
      </c>
      <c r="I23" s="9">
        <v>107.9</v>
      </c>
      <c r="J23" s="9"/>
    </row>
    <row r="24" spans="1:10" x14ac:dyDescent="0.25">
      <c r="A24" t="s">
        <v>315</v>
      </c>
      <c r="B24" t="s">
        <v>34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/>
    </row>
    <row r="25" spans="1:10" x14ac:dyDescent="0.25">
      <c r="A25" t="s">
        <v>316</v>
      </c>
      <c r="B25" t="s">
        <v>35</v>
      </c>
      <c r="D25" s="9">
        <v>0</v>
      </c>
      <c r="E25" s="9">
        <v>56.2</v>
      </c>
      <c r="F25" s="9">
        <v>0</v>
      </c>
      <c r="G25" s="9">
        <v>0</v>
      </c>
      <c r="H25" s="9"/>
      <c r="I25" s="9">
        <v>0</v>
      </c>
      <c r="J25" s="9"/>
    </row>
    <row r="26" spans="1:10" x14ac:dyDescent="0.25">
      <c r="A26" t="s">
        <v>317</v>
      </c>
      <c r="B26" t="s">
        <v>41</v>
      </c>
      <c r="D26" s="9">
        <v>400</v>
      </c>
      <c r="E26" s="9">
        <v>15.48</v>
      </c>
      <c r="F26" s="9">
        <v>400</v>
      </c>
      <c r="G26" s="9">
        <v>318.29000000000002</v>
      </c>
      <c r="H26" s="9">
        <v>400</v>
      </c>
      <c r="I26" s="9">
        <v>440.39</v>
      </c>
      <c r="J26" s="9"/>
    </row>
    <row r="27" spans="1:10" x14ac:dyDescent="0.25">
      <c r="A27" t="s">
        <v>147</v>
      </c>
      <c r="D27" s="9"/>
      <c r="E27" s="9"/>
      <c r="F27" s="9"/>
      <c r="G27" s="9"/>
      <c r="H27" s="9"/>
      <c r="I27" s="9"/>
      <c r="J27" s="9"/>
    </row>
    <row r="28" spans="1:10" x14ac:dyDescent="0.25">
      <c r="A28" t="s">
        <v>318</v>
      </c>
      <c r="B28" t="s">
        <v>149</v>
      </c>
      <c r="D28" s="9">
        <v>500</v>
      </c>
      <c r="E28" s="9">
        <v>0</v>
      </c>
      <c r="F28" s="9">
        <v>500</v>
      </c>
      <c r="G28" s="9">
        <v>739.92</v>
      </c>
      <c r="H28" s="9">
        <v>500</v>
      </c>
      <c r="I28" s="9">
        <v>652.33000000000004</v>
      </c>
      <c r="J28" s="9"/>
    </row>
    <row r="29" spans="1:10" x14ac:dyDescent="0.25">
      <c r="A29" t="s">
        <v>319</v>
      </c>
      <c r="B29" t="s">
        <v>30</v>
      </c>
      <c r="D29" s="9">
        <v>10000</v>
      </c>
      <c r="E29" s="9">
        <v>7962.53</v>
      </c>
      <c r="F29" s="9">
        <v>8000</v>
      </c>
      <c r="G29" s="9">
        <v>10844.26</v>
      </c>
      <c r="H29" s="9">
        <v>8000</v>
      </c>
      <c r="I29" s="9">
        <v>5453.08</v>
      </c>
      <c r="J29" s="9"/>
    </row>
    <row r="30" spans="1:10" x14ac:dyDescent="0.25">
      <c r="A30" t="s">
        <v>320</v>
      </c>
      <c r="B30" t="s">
        <v>31</v>
      </c>
      <c r="D30" s="9">
        <v>2000</v>
      </c>
      <c r="E30" s="9">
        <v>3216</v>
      </c>
      <c r="F30" s="9">
        <v>2000</v>
      </c>
      <c r="G30" s="9">
        <v>6102.7</v>
      </c>
      <c r="H30" s="9">
        <v>1000</v>
      </c>
      <c r="I30" s="9">
        <v>894.17</v>
      </c>
      <c r="J30" s="9"/>
    </row>
    <row r="31" spans="1:10" x14ac:dyDescent="0.25">
      <c r="A31" t="s">
        <v>23</v>
      </c>
      <c r="D31" s="9"/>
      <c r="E31" s="9"/>
      <c r="F31" s="9"/>
      <c r="G31" s="9"/>
      <c r="H31" s="9"/>
      <c r="I31" s="9"/>
      <c r="J31" s="9"/>
    </row>
    <row r="32" spans="1:10" x14ac:dyDescent="0.25">
      <c r="A32" t="s">
        <v>321</v>
      </c>
      <c r="B32" t="s">
        <v>139</v>
      </c>
      <c r="D32" s="9">
        <v>1000</v>
      </c>
      <c r="E32" s="9">
        <v>2718.86</v>
      </c>
      <c r="F32" s="9">
        <v>1000</v>
      </c>
      <c r="G32" s="9">
        <v>2809.23</v>
      </c>
      <c r="H32" s="9">
        <v>1000</v>
      </c>
      <c r="I32" s="9">
        <v>1115.82</v>
      </c>
      <c r="J32" s="9"/>
    </row>
    <row r="33" spans="1:10" x14ac:dyDescent="0.25">
      <c r="A33" t="s">
        <v>322</v>
      </c>
      <c r="B33" t="s">
        <v>141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/>
    </row>
    <row r="34" spans="1:10" x14ac:dyDescent="0.25">
      <c r="A34" s="10" t="s">
        <v>502</v>
      </c>
      <c r="B34" t="s">
        <v>541</v>
      </c>
      <c r="D34" s="9">
        <v>200</v>
      </c>
      <c r="E34" s="9">
        <v>82.85</v>
      </c>
      <c r="F34" s="9">
        <v>200</v>
      </c>
      <c r="G34" s="9">
        <v>204.41</v>
      </c>
      <c r="H34" s="9">
        <v>0</v>
      </c>
      <c r="I34" s="9">
        <v>0</v>
      </c>
      <c r="J34" s="9"/>
    </row>
    <row r="35" spans="1:10" x14ac:dyDescent="0.25">
      <c r="A35" t="s">
        <v>323</v>
      </c>
      <c r="B35" t="s">
        <v>144</v>
      </c>
      <c r="D35" s="9">
        <v>0</v>
      </c>
      <c r="E35" s="9">
        <v>0</v>
      </c>
      <c r="F35" s="9">
        <v>0</v>
      </c>
      <c r="G35" s="9">
        <v>0</v>
      </c>
      <c r="H35" s="9">
        <v>200</v>
      </c>
      <c r="I35" s="9">
        <v>0</v>
      </c>
      <c r="J35" s="9"/>
    </row>
    <row r="36" spans="1:10" x14ac:dyDescent="0.25">
      <c r="A36" t="s">
        <v>324</v>
      </c>
      <c r="B36" t="s">
        <v>146</v>
      </c>
      <c r="D36" s="9">
        <v>0</v>
      </c>
      <c r="E36" s="9">
        <v>0</v>
      </c>
      <c r="F36" s="34">
        <v>0</v>
      </c>
      <c r="G36" s="9">
        <v>0</v>
      </c>
      <c r="H36" s="9">
        <v>300</v>
      </c>
      <c r="I36" s="9">
        <v>0</v>
      </c>
      <c r="J36" s="9"/>
    </row>
    <row r="37" spans="1:10" x14ac:dyDescent="0.25">
      <c r="A37" s="10" t="s">
        <v>17</v>
      </c>
      <c r="D37" s="9"/>
      <c r="E37" s="9"/>
      <c r="F37" s="9"/>
      <c r="G37" s="9"/>
      <c r="H37" s="9"/>
      <c r="I37" s="9"/>
      <c r="J37" s="9"/>
    </row>
    <row r="38" spans="1:10" x14ac:dyDescent="0.25">
      <c r="A38" s="10" t="s">
        <v>504</v>
      </c>
      <c r="B38" s="10" t="s">
        <v>536</v>
      </c>
      <c r="D38" s="9">
        <v>1000</v>
      </c>
      <c r="E38" s="9">
        <v>252.15</v>
      </c>
      <c r="F38" s="9">
        <v>1000</v>
      </c>
      <c r="G38" s="9">
        <v>843.87</v>
      </c>
      <c r="H38" s="9">
        <v>1500</v>
      </c>
      <c r="I38" s="9">
        <v>1418.46</v>
      </c>
      <c r="J38" s="9"/>
    </row>
    <row r="39" spans="1:10" x14ac:dyDescent="0.25">
      <c r="A39" s="10" t="s">
        <v>505</v>
      </c>
      <c r="B39" s="24" t="s">
        <v>1040</v>
      </c>
      <c r="D39" s="9">
        <v>6500</v>
      </c>
      <c r="E39" s="9">
        <v>2955.08</v>
      </c>
      <c r="F39" s="9">
        <v>6500</v>
      </c>
      <c r="G39" s="9">
        <v>7918.29</v>
      </c>
      <c r="H39" s="9">
        <v>3500</v>
      </c>
      <c r="I39" s="9">
        <v>6478.27</v>
      </c>
      <c r="J39" s="9"/>
    </row>
    <row r="40" spans="1:10" x14ac:dyDescent="0.25">
      <c r="A40" s="10" t="s">
        <v>573</v>
      </c>
      <c r="B40" s="10" t="s">
        <v>574</v>
      </c>
      <c r="D40" s="9">
        <v>100</v>
      </c>
      <c r="E40" s="9">
        <v>0</v>
      </c>
      <c r="F40" s="9">
        <v>100</v>
      </c>
      <c r="G40" s="9">
        <v>117.03</v>
      </c>
      <c r="H40" s="9">
        <v>300</v>
      </c>
      <c r="I40" s="9">
        <v>153.62</v>
      </c>
      <c r="J40" s="9"/>
    </row>
    <row r="41" spans="1:10" x14ac:dyDescent="0.25">
      <c r="A41" t="s">
        <v>6</v>
      </c>
      <c r="D41" s="9"/>
      <c r="E41" s="9"/>
      <c r="F41" s="9"/>
      <c r="G41" s="9"/>
      <c r="H41" s="9"/>
      <c r="I41" s="9"/>
      <c r="J41" s="9"/>
    </row>
    <row r="42" spans="1:10" x14ac:dyDescent="0.25">
      <c r="A42" t="s">
        <v>325</v>
      </c>
      <c r="B42" t="s">
        <v>14</v>
      </c>
      <c r="D42" s="9">
        <v>500</v>
      </c>
      <c r="E42" s="9">
        <v>655</v>
      </c>
      <c r="F42" s="9">
        <v>500</v>
      </c>
      <c r="G42" s="9">
        <v>439</v>
      </c>
      <c r="H42" s="9">
        <v>500</v>
      </c>
      <c r="I42" s="9">
        <v>680</v>
      </c>
      <c r="J42" s="9"/>
    </row>
    <row r="43" spans="1:10" x14ac:dyDescent="0.25">
      <c r="A43" s="10" t="s">
        <v>503</v>
      </c>
      <c r="B43" s="24" t="s">
        <v>797</v>
      </c>
      <c r="D43" s="9">
        <v>2200</v>
      </c>
      <c r="E43" s="9">
        <v>1944</v>
      </c>
      <c r="F43" s="9">
        <v>2200</v>
      </c>
      <c r="G43" s="9">
        <v>2937.49</v>
      </c>
      <c r="H43" s="9">
        <v>1800</v>
      </c>
      <c r="I43" s="9">
        <v>2436.3000000000002</v>
      </c>
      <c r="J43" s="9"/>
    </row>
    <row r="44" spans="1:10" x14ac:dyDescent="0.25">
      <c r="A44" t="s">
        <v>5</v>
      </c>
      <c r="D44" s="9"/>
      <c r="E44" s="9"/>
      <c r="F44" s="9"/>
      <c r="G44" s="9"/>
      <c r="H44" s="9"/>
      <c r="I44" s="9"/>
      <c r="J44" s="9"/>
    </row>
    <row r="45" spans="1:10" x14ac:dyDescent="0.25">
      <c r="A45" t="s">
        <v>326</v>
      </c>
      <c r="B45" t="s">
        <v>87</v>
      </c>
      <c r="D45" s="9">
        <v>400</v>
      </c>
      <c r="E45" s="9">
        <v>288.76</v>
      </c>
      <c r="F45" s="9">
        <v>400</v>
      </c>
      <c r="G45" s="9">
        <v>239.52</v>
      </c>
      <c r="H45" s="9">
        <v>400</v>
      </c>
      <c r="I45" s="9">
        <v>334.05</v>
      </c>
      <c r="J45" s="9"/>
    </row>
    <row r="46" spans="1:10" x14ac:dyDescent="0.25">
      <c r="A46" t="s">
        <v>134</v>
      </c>
      <c r="D46" s="9"/>
      <c r="E46" s="9"/>
      <c r="F46" s="9"/>
      <c r="G46" s="9"/>
      <c r="H46" s="9"/>
      <c r="I46" s="9"/>
    </row>
    <row r="47" spans="1:10" x14ac:dyDescent="0.25">
      <c r="A47" t="s">
        <v>327</v>
      </c>
      <c r="B47" t="s">
        <v>135</v>
      </c>
      <c r="D47" s="9">
        <v>1000</v>
      </c>
      <c r="E47" s="9">
        <v>178.1</v>
      </c>
      <c r="F47" s="9">
        <v>1000</v>
      </c>
      <c r="G47" s="9">
        <v>1057.9000000000001</v>
      </c>
      <c r="H47" s="9">
        <v>1000</v>
      </c>
      <c r="I47" s="9">
        <v>898.8</v>
      </c>
      <c r="J47" s="9"/>
    </row>
    <row r="48" spans="1:10" x14ac:dyDescent="0.25">
      <c r="A48" t="s">
        <v>126</v>
      </c>
      <c r="D48" s="9"/>
      <c r="E48" s="9"/>
      <c r="F48" s="9"/>
      <c r="G48" s="9"/>
      <c r="H48" s="9"/>
      <c r="I48" s="9"/>
      <c r="J48" s="9"/>
    </row>
    <row r="49" spans="1:10" x14ac:dyDescent="0.25">
      <c r="A49" t="s">
        <v>328</v>
      </c>
      <c r="B49" t="s">
        <v>128</v>
      </c>
      <c r="D49" s="9">
        <v>13000</v>
      </c>
      <c r="E49" s="9">
        <v>13074</v>
      </c>
      <c r="F49" s="9">
        <v>10500</v>
      </c>
      <c r="G49" s="9">
        <v>10169</v>
      </c>
      <c r="H49" s="9">
        <v>11000</v>
      </c>
      <c r="I49" s="9">
        <v>11010</v>
      </c>
      <c r="J49" s="9"/>
    </row>
    <row r="50" spans="1:10" x14ac:dyDescent="0.25">
      <c r="A50" t="s">
        <v>119</v>
      </c>
      <c r="D50" s="9"/>
      <c r="E50" s="9"/>
      <c r="F50" s="9"/>
      <c r="G50" s="9"/>
      <c r="H50" s="9"/>
      <c r="I50" s="9"/>
      <c r="J50" s="9"/>
    </row>
    <row r="51" spans="1:10" x14ac:dyDescent="0.25">
      <c r="A51" t="s">
        <v>329</v>
      </c>
      <c r="B51" t="s">
        <v>120</v>
      </c>
      <c r="D51" s="9">
        <v>8000</v>
      </c>
      <c r="E51" s="9">
        <v>8330.61</v>
      </c>
      <c r="F51" s="9">
        <v>8000</v>
      </c>
      <c r="G51" s="9">
        <v>9374.56</v>
      </c>
      <c r="H51" s="9">
        <v>8000</v>
      </c>
      <c r="I51" s="9">
        <v>8708.91</v>
      </c>
      <c r="J51" s="9"/>
    </row>
    <row r="52" spans="1:10" x14ac:dyDescent="0.25">
      <c r="A52" t="s">
        <v>330</v>
      </c>
      <c r="B52" t="s">
        <v>121</v>
      </c>
      <c r="D52" s="9">
        <v>2500</v>
      </c>
      <c r="E52" s="9">
        <v>2635.05</v>
      </c>
      <c r="F52" s="9">
        <v>2500</v>
      </c>
      <c r="G52" s="9">
        <v>14974.04</v>
      </c>
      <c r="H52" s="9">
        <v>2500</v>
      </c>
      <c r="I52" s="9">
        <v>2881.86</v>
      </c>
      <c r="J52" s="9"/>
    </row>
    <row r="53" spans="1:10" x14ac:dyDescent="0.25">
      <c r="A53" t="s">
        <v>331</v>
      </c>
      <c r="B53" t="s">
        <v>122</v>
      </c>
      <c r="D53" s="9">
        <v>6500</v>
      </c>
      <c r="E53" s="9">
        <v>4862.55</v>
      </c>
      <c r="F53" s="9">
        <v>6500</v>
      </c>
      <c r="G53" s="9">
        <v>8269.26</v>
      </c>
      <c r="H53" s="9">
        <v>6500</v>
      </c>
      <c r="I53" s="9">
        <v>6042.77</v>
      </c>
      <c r="J53" s="9"/>
    </row>
    <row r="54" spans="1:10" x14ac:dyDescent="0.25">
      <c r="A54" t="s">
        <v>332</v>
      </c>
      <c r="B54" t="s">
        <v>123</v>
      </c>
      <c r="D54" s="9">
        <v>600</v>
      </c>
      <c r="E54" s="9">
        <v>402.04</v>
      </c>
      <c r="F54" s="9">
        <v>600</v>
      </c>
      <c r="G54" s="9">
        <v>428.05</v>
      </c>
      <c r="H54" s="9">
        <v>600</v>
      </c>
      <c r="I54" s="9">
        <v>402.04</v>
      </c>
      <c r="J54" s="9"/>
    </row>
    <row r="55" spans="1:10" x14ac:dyDescent="0.25">
      <c r="A55" t="s">
        <v>333</v>
      </c>
      <c r="B55" t="s">
        <v>124</v>
      </c>
      <c r="D55" s="9">
        <v>2500</v>
      </c>
      <c r="E55" s="9">
        <v>2289.58</v>
      </c>
      <c r="F55" s="9">
        <v>2500</v>
      </c>
      <c r="G55" s="9">
        <v>7896.12</v>
      </c>
      <c r="H55" s="9">
        <v>2000</v>
      </c>
      <c r="I55" s="9">
        <v>2595.19</v>
      </c>
      <c r="J55" s="9"/>
    </row>
    <row r="56" spans="1:10" x14ac:dyDescent="0.25">
      <c r="A56" s="24" t="s">
        <v>490</v>
      </c>
      <c r="B56" s="17"/>
      <c r="D56" s="9"/>
      <c r="E56" s="9"/>
      <c r="F56" s="9"/>
      <c r="G56" s="9"/>
      <c r="H56" s="9"/>
      <c r="I56" s="9"/>
      <c r="J56" s="9"/>
    </row>
    <row r="57" spans="1:10" x14ac:dyDescent="0.25">
      <c r="A57" s="24" t="s">
        <v>666</v>
      </c>
      <c r="B57" s="24" t="s">
        <v>495</v>
      </c>
      <c r="D57" s="9">
        <v>0</v>
      </c>
      <c r="E57" s="9">
        <v>0</v>
      </c>
      <c r="F57" s="9">
        <v>0</v>
      </c>
      <c r="G57" s="9">
        <v>0</v>
      </c>
      <c r="H57" s="34">
        <v>1000</v>
      </c>
      <c r="I57" s="9">
        <v>2624.98</v>
      </c>
      <c r="J57" s="9"/>
    </row>
    <row r="58" spans="1:10" x14ac:dyDescent="0.25">
      <c r="A58" s="24" t="s">
        <v>667</v>
      </c>
      <c r="B58" s="24" t="s">
        <v>668</v>
      </c>
      <c r="D58" s="9">
        <v>1000</v>
      </c>
      <c r="E58" s="9">
        <v>0</v>
      </c>
      <c r="F58" s="9">
        <v>2500</v>
      </c>
      <c r="G58" s="9">
        <v>0</v>
      </c>
      <c r="H58" s="9">
        <v>500</v>
      </c>
      <c r="I58" s="9">
        <v>7046.14</v>
      </c>
      <c r="J58" s="9"/>
    </row>
    <row r="59" spans="1:10" x14ac:dyDescent="0.25">
      <c r="A59" s="24" t="s">
        <v>665</v>
      </c>
      <c r="B59" s="24" t="s">
        <v>112</v>
      </c>
      <c r="D59" s="9">
        <v>60000</v>
      </c>
      <c r="E59" s="9">
        <v>0</v>
      </c>
      <c r="F59" s="9">
        <v>0</v>
      </c>
      <c r="G59" s="9">
        <v>0</v>
      </c>
      <c r="H59" s="9">
        <v>500</v>
      </c>
      <c r="I59" s="9">
        <v>597.41</v>
      </c>
      <c r="J59" s="9"/>
    </row>
    <row r="60" spans="1:10" x14ac:dyDescent="0.25">
      <c r="A60" t="s">
        <v>114</v>
      </c>
      <c r="D60" s="9"/>
      <c r="E60" s="9"/>
      <c r="F60" s="9"/>
      <c r="G60" s="9"/>
      <c r="H60" s="9"/>
      <c r="I60" s="9"/>
      <c r="J60" s="9"/>
    </row>
    <row r="61" spans="1:10" x14ac:dyDescent="0.25">
      <c r="A61" t="s">
        <v>656</v>
      </c>
      <c r="B61" t="s">
        <v>115</v>
      </c>
      <c r="D61" s="9">
        <v>500</v>
      </c>
      <c r="E61" s="9">
        <v>0</v>
      </c>
      <c r="F61" s="34">
        <v>500</v>
      </c>
      <c r="G61" s="9">
        <v>0</v>
      </c>
      <c r="H61" s="9">
        <v>1000</v>
      </c>
      <c r="I61" s="9">
        <v>0</v>
      </c>
      <c r="J61" s="9"/>
    </row>
    <row r="62" spans="1:10" x14ac:dyDescent="0.25">
      <c r="A62" t="s">
        <v>334</v>
      </c>
      <c r="B62" t="s">
        <v>116</v>
      </c>
      <c r="D62" s="9">
        <v>1000</v>
      </c>
      <c r="E62" s="9">
        <v>0</v>
      </c>
      <c r="F62" s="9">
        <v>1000</v>
      </c>
      <c r="G62" s="9">
        <v>7475</v>
      </c>
      <c r="H62" s="9">
        <v>7000</v>
      </c>
      <c r="I62" s="9">
        <v>0</v>
      </c>
      <c r="J62" s="9"/>
    </row>
    <row r="63" spans="1:10" x14ac:dyDescent="0.25">
      <c r="A63" t="s">
        <v>335</v>
      </c>
      <c r="B63" s="24" t="s">
        <v>117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/>
    </row>
    <row r="64" spans="1:10" x14ac:dyDescent="0.25">
      <c r="A64" t="s">
        <v>105</v>
      </c>
      <c r="D64" s="9"/>
      <c r="E64" s="9"/>
      <c r="F64" s="9"/>
      <c r="G64" s="9"/>
      <c r="H64" s="9"/>
      <c r="I64" s="9"/>
    </row>
    <row r="65" spans="1:9" x14ac:dyDescent="0.25">
      <c r="A65" t="s">
        <v>336</v>
      </c>
      <c r="B65" t="s">
        <v>91</v>
      </c>
      <c r="D65" s="9">
        <v>750</v>
      </c>
      <c r="E65" s="9">
        <v>679.25</v>
      </c>
      <c r="F65" s="9">
        <v>750</v>
      </c>
      <c r="G65" s="9">
        <v>1066.6199999999999</v>
      </c>
      <c r="H65" s="9">
        <v>750</v>
      </c>
      <c r="I65" s="9">
        <v>966.56</v>
      </c>
    </row>
    <row r="66" spans="1:9" x14ac:dyDescent="0.25">
      <c r="A66" t="s">
        <v>337</v>
      </c>
      <c r="B66" t="s">
        <v>89</v>
      </c>
      <c r="D66" s="9">
        <v>1500</v>
      </c>
      <c r="E66" s="9">
        <v>2117</v>
      </c>
      <c r="F66" s="9">
        <v>1500</v>
      </c>
      <c r="G66" s="9">
        <v>1677</v>
      </c>
      <c r="H66" s="9">
        <v>1500</v>
      </c>
      <c r="I66" s="9">
        <v>1409.21</v>
      </c>
    </row>
    <row r="67" spans="1:9" x14ac:dyDescent="0.25">
      <c r="A67" t="s">
        <v>338</v>
      </c>
      <c r="B67" t="s">
        <v>106</v>
      </c>
      <c r="D67" s="9">
        <v>0</v>
      </c>
      <c r="E67" s="9">
        <v>1.71</v>
      </c>
      <c r="F67" s="9">
        <v>0</v>
      </c>
      <c r="G67" s="9">
        <v>0</v>
      </c>
      <c r="H67" s="9">
        <v>0</v>
      </c>
      <c r="I67" s="9">
        <v>0</v>
      </c>
    </row>
    <row r="68" spans="1:9" x14ac:dyDescent="0.25">
      <c r="D68" s="9"/>
      <c r="E68" s="9"/>
      <c r="F68" s="9"/>
      <c r="G68" s="9"/>
      <c r="H68" s="9"/>
      <c r="I68" s="9"/>
    </row>
    <row r="69" spans="1:9" x14ac:dyDescent="0.25">
      <c r="B69" s="22" t="s">
        <v>57</v>
      </c>
      <c r="D69" s="9">
        <f t="shared" ref="D69:I69" si="0">SUM(D15:D67)</f>
        <v>202605</v>
      </c>
      <c r="E69" s="9">
        <f t="shared" si="0"/>
        <v>120492.97</v>
      </c>
      <c r="F69" s="9">
        <f t="shared" si="0"/>
        <v>139605</v>
      </c>
      <c r="G69" s="9">
        <f t="shared" si="0"/>
        <v>179445.08999999997</v>
      </c>
      <c r="H69" s="9">
        <f t="shared" si="0"/>
        <v>137122.5</v>
      </c>
      <c r="I69" s="9">
        <f t="shared" si="0"/>
        <v>139588.38</v>
      </c>
    </row>
    <row r="72" spans="1:9" x14ac:dyDescent="0.25">
      <c r="A72" s="24"/>
    </row>
    <row r="73" spans="1:9" x14ac:dyDescent="0.25">
      <c r="A73" s="110" t="s">
        <v>1049</v>
      </c>
      <c r="B73" s="110"/>
    </row>
    <row r="74" spans="1:9" x14ac:dyDescent="0.25">
      <c r="A74" s="126" t="s">
        <v>1058</v>
      </c>
      <c r="B74" s="24"/>
    </row>
    <row r="75" spans="1:9" x14ac:dyDescent="0.25">
      <c r="A75" s="127" t="s">
        <v>1057</v>
      </c>
      <c r="B75" s="104"/>
      <c r="C75" s="102"/>
      <c r="D75" s="102"/>
      <c r="E75" s="102"/>
      <c r="F75" s="102"/>
      <c r="G75" s="102"/>
      <c r="H75" s="102"/>
      <c r="I75" s="102"/>
    </row>
    <row r="76" spans="1:9" x14ac:dyDescent="0.25">
      <c r="A76" s="127"/>
      <c r="B76" s="104"/>
      <c r="C76" s="102"/>
      <c r="D76" s="102"/>
      <c r="E76" s="102"/>
      <c r="F76" s="102"/>
      <c r="G76" s="102"/>
      <c r="H76" s="102"/>
      <c r="I76" s="102"/>
    </row>
    <row r="77" spans="1:9" x14ac:dyDescent="0.25">
      <c r="A77" s="24"/>
      <c r="B77" s="104"/>
      <c r="C77" s="102"/>
      <c r="D77" s="102"/>
      <c r="E77" s="102"/>
      <c r="F77" s="102"/>
      <c r="G77" s="102"/>
      <c r="H77" s="102"/>
      <c r="I77" s="102"/>
    </row>
    <row r="78" spans="1:9" x14ac:dyDescent="0.25">
      <c r="A78" s="110" t="s">
        <v>1109</v>
      </c>
      <c r="B78" s="104"/>
      <c r="C78" s="102"/>
      <c r="D78" s="102"/>
      <c r="E78" s="102"/>
      <c r="F78" s="102"/>
      <c r="G78" s="102"/>
      <c r="H78" s="102"/>
      <c r="I78" s="102"/>
    </row>
    <row r="79" spans="1:9" x14ac:dyDescent="0.25">
      <c r="A79" s="24" t="s">
        <v>1126</v>
      </c>
      <c r="B79" s="132">
        <v>7000</v>
      </c>
      <c r="C79" s="102"/>
      <c r="D79" s="102"/>
      <c r="E79" s="102"/>
      <c r="F79" s="102"/>
      <c r="G79" s="102"/>
      <c r="H79" s="102"/>
      <c r="I79" s="102"/>
    </row>
    <row r="80" spans="1:9" x14ac:dyDescent="0.25">
      <c r="A80" s="104" t="s">
        <v>1127</v>
      </c>
      <c r="B80" s="141">
        <v>1000</v>
      </c>
      <c r="C80" s="102"/>
      <c r="D80" s="102"/>
      <c r="E80" s="102"/>
      <c r="F80" s="102" t="s">
        <v>1164</v>
      </c>
      <c r="G80" s="102"/>
      <c r="I80" s="102"/>
    </row>
    <row r="81" spans="1:9" x14ac:dyDescent="0.25">
      <c r="B81" s="104"/>
      <c r="C81" s="102"/>
      <c r="D81" s="102"/>
      <c r="E81" s="102"/>
      <c r="F81" s="102"/>
      <c r="G81" s="102"/>
      <c r="H81" s="102"/>
      <c r="I81" s="102"/>
    </row>
    <row r="82" spans="1:9" x14ac:dyDescent="0.25">
      <c r="A82" s="113"/>
      <c r="B82" s="104"/>
      <c r="C82" s="105"/>
      <c r="D82" s="105"/>
      <c r="E82" s="105"/>
      <c r="F82" s="105"/>
      <c r="G82" s="105"/>
      <c r="H82" s="105"/>
      <c r="I82" s="105"/>
    </row>
    <row r="83" spans="1:9" x14ac:dyDescent="0.25">
      <c r="A83" s="104"/>
      <c r="B83" s="104"/>
      <c r="C83" s="102"/>
      <c r="D83" s="102"/>
      <c r="E83" s="102"/>
      <c r="F83" s="102"/>
      <c r="G83" s="102"/>
      <c r="H83" s="102"/>
      <c r="I83" s="102"/>
    </row>
    <row r="84" spans="1:9" x14ac:dyDescent="0.25">
      <c r="A84" s="137" t="s">
        <v>1125</v>
      </c>
      <c r="B84" s="104"/>
      <c r="C84" s="102"/>
      <c r="D84" s="102"/>
      <c r="E84" s="102"/>
      <c r="F84" s="102"/>
      <c r="G84" s="102"/>
      <c r="H84" s="102"/>
      <c r="I84" s="102"/>
    </row>
    <row r="85" spans="1:9" x14ac:dyDescent="0.25">
      <c r="A85" s="104" t="s">
        <v>1203</v>
      </c>
      <c r="B85" s="140">
        <v>2500</v>
      </c>
      <c r="C85" s="102"/>
      <c r="D85" s="102"/>
      <c r="E85" s="102"/>
      <c r="F85" s="102"/>
      <c r="G85" s="102"/>
      <c r="H85" s="102"/>
      <c r="I85" s="102"/>
    </row>
    <row r="86" spans="1:9" x14ac:dyDescent="0.25">
      <c r="A86" s="103" t="s">
        <v>1214</v>
      </c>
      <c r="B86" s="104"/>
      <c r="C86" s="102"/>
      <c r="D86" s="102"/>
      <c r="E86" s="102"/>
      <c r="F86" s="102"/>
      <c r="G86" s="102"/>
      <c r="H86" s="102"/>
      <c r="I86" s="102"/>
    </row>
    <row r="87" spans="1:9" x14ac:dyDescent="0.25">
      <c r="A87" s="104" t="s">
        <v>1210</v>
      </c>
      <c r="B87" s="102" t="s">
        <v>1213</v>
      </c>
      <c r="C87" s="102"/>
      <c r="D87" s="102"/>
      <c r="E87" s="102"/>
      <c r="F87" s="102"/>
      <c r="G87" s="102"/>
      <c r="H87" s="102"/>
      <c r="I87" s="102"/>
    </row>
    <row r="88" spans="1:9" x14ac:dyDescent="0.25">
      <c r="A88" s="142" t="s">
        <v>1211</v>
      </c>
      <c r="B88" s="24" t="s">
        <v>1212</v>
      </c>
    </row>
    <row r="91" spans="1:9" x14ac:dyDescent="0.25">
      <c r="A91" s="110" t="s">
        <v>1273</v>
      </c>
    </row>
    <row r="92" spans="1:9" x14ac:dyDescent="0.25">
      <c r="A92" s="24" t="s">
        <v>1274</v>
      </c>
    </row>
    <row r="93" spans="1:9" x14ac:dyDescent="0.25">
      <c r="A93" s="24" t="s">
        <v>1275</v>
      </c>
    </row>
    <row r="94" spans="1:9" x14ac:dyDescent="0.25">
      <c r="A94" s="24" t="s">
        <v>1276</v>
      </c>
    </row>
    <row r="95" spans="1:9" x14ac:dyDescent="0.25">
      <c r="A95" s="24" t="s">
        <v>1353</v>
      </c>
      <c r="B95" s="9">
        <v>60000</v>
      </c>
    </row>
    <row r="96" spans="1:9" x14ac:dyDescent="0.25">
      <c r="A96" s="24" t="s">
        <v>1354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8"/>
  <sheetViews>
    <sheetView topLeftCell="A10" workbookViewId="0">
      <selection activeCell="D36" sqref="D36"/>
    </sheetView>
  </sheetViews>
  <sheetFormatPr defaultRowHeight="13.2" x14ac:dyDescent="0.25"/>
  <cols>
    <col min="1" max="1" width="18.33203125" customWidth="1"/>
    <col min="2" max="2" width="27.44140625" customWidth="1"/>
    <col min="3" max="3" width="8.6640625" customWidth="1"/>
    <col min="4" max="10" width="11.6640625" customWidth="1"/>
  </cols>
  <sheetData>
    <row r="1" spans="1:10" ht="15.6" x14ac:dyDescent="0.3">
      <c r="B1" s="11" t="s">
        <v>752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0" x14ac:dyDescent="0.25">
      <c r="D2" s="1" t="s">
        <v>501</v>
      </c>
      <c r="E2" s="1" t="s">
        <v>1368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4" spans="1:10" x14ac:dyDescent="0.25">
      <c r="A4" s="24" t="s">
        <v>76</v>
      </c>
    </row>
    <row r="5" spans="1:10" x14ac:dyDescent="0.25">
      <c r="A5" s="24" t="s">
        <v>850</v>
      </c>
      <c r="B5" s="24" t="s">
        <v>852</v>
      </c>
      <c r="D5" s="9">
        <v>4000</v>
      </c>
      <c r="E5" s="9">
        <v>2543</v>
      </c>
      <c r="F5" s="9">
        <v>4500</v>
      </c>
      <c r="G5" s="9">
        <v>3465</v>
      </c>
      <c r="H5" s="9">
        <v>4500</v>
      </c>
      <c r="I5" s="9">
        <v>4761.8900000000003</v>
      </c>
      <c r="J5" s="9">
        <v>4500</v>
      </c>
    </row>
    <row r="6" spans="1:10" x14ac:dyDescent="0.25">
      <c r="A6" s="24" t="s">
        <v>851</v>
      </c>
      <c r="B6" s="24" t="s">
        <v>568</v>
      </c>
      <c r="D6" s="9">
        <v>500</v>
      </c>
      <c r="E6" s="9">
        <v>7514.08</v>
      </c>
      <c r="F6" s="9">
        <v>500</v>
      </c>
      <c r="G6" s="9">
        <v>350</v>
      </c>
      <c r="H6" s="9">
        <v>500</v>
      </c>
      <c r="I6" s="9">
        <v>865</v>
      </c>
      <c r="J6" s="9">
        <v>500</v>
      </c>
    </row>
    <row r="7" spans="1:10" x14ac:dyDescent="0.25">
      <c r="A7" s="24" t="s">
        <v>853</v>
      </c>
      <c r="B7" s="24" t="s">
        <v>854</v>
      </c>
      <c r="D7" s="9">
        <v>1000</v>
      </c>
      <c r="E7" s="9">
        <v>0</v>
      </c>
      <c r="F7" s="9">
        <v>1000</v>
      </c>
      <c r="G7" s="9">
        <v>883</v>
      </c>
      <c r="H7" s="9">
        <v>1000</v>
      </c>
      <c r="I7" s="9">
        <v>800.84</v>
      </c>
      <c r="J7" s="9">
        <v>1000</v>
      </c>
    </row>
    <row r="8" spans="1:10" x14ac:dyDescent="0.25">
      <c r="A8" s="24"/>
      <c r="B8" s="24"/>
      <c r="D8" s="9"/>
      <c r="E8" s="9"/>
      <c r="F8" s="9"/>
      <c r="G8" s="9"/>
      <c r="H8" s="9"/>
      <c r="I8" s="9"/>
      <c r="J8" s="9"/>
    </row>
    <row r="9" spans="1:10" x14ac:dyDescent="0.25">
      <c r="A9" s="24"/>
      <c r="B9" s="24" t="s">
        <v>57</v>
      </c>
      <c r="D9" s="9">
        <f t="shared" ref="D9" si="0">SUM(D5:D8)</f>
        <v>5500</v>
      </c>
      <c r="E9" s="9">
        <f>SUM(E5:E7)</f>
        <v>10057.08</v>
      </c>
      <c r="F9" s="9">
        <f>SUM(F5:F8)</f>
        <v>6000</v>
      </c>
      <c r="G9" s="9">
        <f>SUM(G5:G7)</f>
        <v>4698</v>
      </c>
      <c r="H9" s="9">
        <f>SUM(H5:H7)</f>
        <v>6000</v>
      </c>
      <c r="I9" s="9">
        <f>SUM(I5:I8)</f>
        <v>6427.7300000000005</v>
      </c>
      <c r="J9" s="9">
        <f t="shared" ref="J9" si="1">SUM(J5:J8)</f>
        <v>6000</v>
      </c>
    </row>
    <row r="10" spans="1:10" x14ac:dyDescent="0.25">
      <c r="D10" s="9"/>
      <c r="E10" s="9"/>
      <c r="F10" s="9"/>
      <c r="G10" s="9"/>
      <c r="H10" s="9"/>
      <c r="I10" s="9"/>
      <c r="J10" s="9"/>
    </row>
    <row r="11" spans="1:10" x14ac:dyDescent="0.25">
      <c r="A11" t="s">
        <v>77</v>
      </c>
      <c r="D11" s="9"/>
      <c r="E11" s="9"/>
      <c r="F11" s="9"/>
      <c r="G11" s="9"/>
      <c r="H11" s="9"/>
      <c r="I11" s="9"/>
      <c r="J11" s="9"/>
    </row>
    <row r="12" spans="1:10" x14ac:dyDescent="0.25">
      <c r="A12" t="s">
        <v>190</v>
      </c>
      <c r="D12" s="9"/>
      <c r="E12" s="9"/>
      <c r="F12" s="9"/>
      <c r="G12" s="9"/>
      <c r="H12" s="9"/>
      <c r="I12" s="9"/>
      <c r="J12" s="9"/>
    </row>
    <row r="13" spans="1:10" x14ac:dyDescent="0.25">
      <c r="A13" t="s">
        <v>339</v>
      </c>
      <c r="B13" s="24" t="s">
        <v>1194</v>
      </c>
      <c r="D13" s="9">
        <v>10000</v>
      </c>
      <c r="E13" s="9">
        <v>6890.44</v>
      </c>
      <c r="F13" s="34">
        <v>10000</v>
      </c>
      <c r="G13" s="9">
        <v>8441.6</v>
      </c>
      <c r="H13" s="9">
        <v>1500</v>
      </c>
      <c r="I13" s="9">
        <v>1020</v>
      </c>
      <c r="J13" s="9">
        <v>3600</v>
      </c>
    </row>
    <row r="14" spans="1:10" x14ac:dyDescent="0.25">
      <c r="B14" t="s">
        <v>745</v>
      </c>
      <c r="D14" s="9">
        <v>0</v>
      </c>
      <c r="E14" s="9">
        <v>0</v>
      </c>
      <c r="F14" s="34">
        <v>0</v>
      </c>
      <c r="G14" s="9">
        <v>0</v>
      </c>
      <c r="H14" s="9">
        <v>9000</v>
      </c>
      <c r="I14" s="9">
        <v>9322.34</v>
      </c>
      <c r="J14" s="9">
        <v>4500</v>
      </c>
    </row>
    <row r="15" spans="1:10" x14ac:dyDescent="0.25">
      <c r="B15" s="24" t="s">
        <v>753</v>
      </c>
      <c r="D15" s="9">
        <v>0</v>
      </c>
      <c r="E15" s="9">
        <v>0</v>
      </c>
      <c r="F15" s="34">
        <v>0</v>
      </c>
      <c r="G15" s="9">
        <v>0</v>
      </c>
      <c r="H15" s="9">
        <v>500</v>
      </c>
      <c r="I15" s="9">
        <v>770</v>
      </c>
      <c r="J15" s="9">
        <v>500</v>
      </c>
    </row>
    <row r="16" spans="1:10" x14ac:dyDescent="0.25">
      <c r="A16" t="s">
        <v>186</v>
      </c>
      <c r="D16" s="9"/>
      <c r="E16" s="9"/>
      <c r="F16" s="34"/>
      <c r="G16" s="9"/>
      <c r="H16" s="9"/>
      <c r="I16" s="9"/>
      <c r="J16" s="9"/>
    </row>
    <row r="17" spans="1:11" x14ac:dyDescent="0.25">
      <c r="A17" t="s">
        <v>340</v>
      </c>
      <c r="B17" t="s">
        <v>80</v>
      </c>
      <c r="D17" s="9">
        <v>620</v>
      </c>
      <c r="E17" s="9">
        <v>415.04</v>
      </c>
      <c r="F17" s="34">
        <f>F13*0.062</f>
        <v>620</v>
      </c>
      <c r="G17" s="9">
        <v>523.38</v>
      </c>
      <c r="H17" s="9">
        <f>SUM(H13:H15)*0.062</f>
        <v>682</v>
      </c>
      <c r="I17" s="9">
        <v>690.83</v>
      </c>
      <c r="J17" s="9">
        <v>533</v>
      </c>
    </row>
    <row r="18" spans="1:11" x14ac:dyDescent="0.25">
      <c r="A18" t="s">
        <v>341</v>
      </c>
      <c r="B18" t="s">
        <v>82</v>
      </c>
      <c r="D18" s="9">
        <v>145</v>
      </c>
      <c r="E18" s="9">
        <v>97.1</v>
      </c>
      <c r="F18" s="34">
        <f>F13*0.0145</f>
        <v>145</v>
      </c>
      <c r="G18" s="9">
        <v>122.39</v>
      </c>
      <c r="H18" s="9">
        <f>SUM(H13:H15)*0.0145</f>
        <v>159.5</v>
      </c>
      <c r="I18" s="9">
        <v>161.58000000000001</v>
      </c>
      <c r="J18" s="9">
        <v>125</v>
      </c>
    </row>
    <row r="19" spans="1:11" x14ac:dyDescent="0.25">
      <c r="A19" t="s">
        <v>32</v>
      </c>
      <c r="D19" s="9"/>
      <c r="E19" s="9"/>
      <c r="F19" s="9"/>
      <c r="G19" s="9"/>
      <c r="H19" s="9"/>
      <c r="I19" s="9"/>
      <c r="J19" s="9"/>
    </row>
    <row r="20" spans="1:11" x14ac:dyDescent="0.25">
      <c r="A20" t="s">
        <v>342</v>
      </c>
      <c r="B20" t="s">
        <v>34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200</v>
      </c>
    </row>
    <row r="21" spans="1:11" x14ac:dyDescent="0.25">
      <c r="A21" t="s">
        <v>147</v>
      </c>
      <c r="D21" s="9"/>
      <c r="E21" s="9"/>
      <c r="F21" s="9"/>
      <c r="G21" s="9"/>
      <c r="H21" s="9"/>
      <c r="I21" s="9"/>
      <c r="J21" s="9"/>
    </row>
    <row r="22" spans="1:11" x14ac:dyDescent="0.25">
      <c r="A22" s="24" t="s">
        <v>1303</v>
      </c>
      <c r="B22" s="24" t="s">
        <v>149</v>
      </c>
      <c r="D22" s="9">
        <v>0</v>
      </c>
      <c r="E22" s="9">
        <v>19.399999999999999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1" x14ac:dyDescent="0.25">
      <c r="A23" t="s">
        <v>343</v>
      </c>
      <c r="B23" s="24" t="s">
        <v>754</v>
      </c>
      <c r="D23" s="9">
        <v>500</v>
      </c>
      <c r="E23" s="9">
        <v>1116.4000000000001</v>
      </c>
      <c r="F23" s="135">
        <v>1000</v>
      </c>
      <c r="G23" s="9">
        <v>538.58000000000004</v>
      </c>
      <c r="H23" s="9">
        <v>500</v>
      </c>
      <c r="I23" s="9">
        <v>542</v>
      </c>
      <c r="J23" s="9">
        <v>500</v>
      </c>
    </row>
    <row r="24" spans="1:11" x14ac:dyDescent="0.25">
      <c r="A24" t="s">
        <v>652</v>
      </c>
      <c r="B24" t="s">
        <v>653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1" x14ac:dyDescent="0.25">
      <c r="A25" s="10" t="s">
        <v>17</v>
      </c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504</v>
      </c>
      <c r="B26" s="10" t="s">
        <v>536</v>
      </c>
      <c r="D26" s="9">
        <v>400</v>
      </c>
      <c r="E26" s="9">
        <v>0</v>
      </c>
      <c r="F26" s="9">
        <v>400</v>
      </c>
      <c r="G26" s="9">
        <v>336.33</v>
      </c>
      <c r="H26" s="9">
        <v>400</v>
      </c>
      <c r="I26" s="9">
        <v>308.01</v>
      </c>
      <c r="J26" s="9">
        <v>500</v>
      </c>
      <c r="K26" s="9"/>
    </row>
    <row r="27" spans="1:11" x14ac:dyDescent="0.25">
      <c r="A27" s="10" t="s">
        <v>505</v>
      </c>
      <c r="B27" s="10" t="s">
        <v>535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/>
    </row>
    <row r="28" spans="1:11" x14ac:dyDescent="0.25">
      <c r="A28" t="s">
        <v>134</v>
      </c>
      <c r="D28" s="9"/>
      <c r="E28" s="9"/>
      <c r="F28" s="9"/>
      <c r="G28" s="9"/>
      <c r="H28" s="9"/>
      <c r="I28" s="9"/>
      <c r="J28" s="9"/>
    </row>
    <row r="29" spans="1:11" x14ac:dyDescent="0.25">
      <c r="A29" t="s">
        <v>344</v>
      </c>
      <c r="B29" t="s">
        <v>135</v>
      </c>
      <c r="D29" s="9">
        <v>0</v>
      </c>
      <c r="E29" s="9">
        <v>0</v>
      </c>
      <c r="F29" s="9">
        <v>100</v>
      </c>
      <c r="G29" s="9">
        <v>0</v>
      </c>
      <c r="H29" s="9">
        <v>100</v>
      </c>
      <c r="I29" s="9">
        <v>0</v>
      </c>
      <c r="J29" s="9">
        <v>100</v>
      </c>
    </row>
    <row r="30" spans="1:11" x14ac:dyDescent="0.25">
      <c r="A30" t="s">
        <v>110</v>
      </c>
      <c r="D30" s="9"/>
      <c r="E30" s="9"/>
      <c r="F30" s="9"/>
      <c r="G30" s="9"/>
      <c r="H30" s="9"/>
      <c r="I30" s="9"/>
      <c r="J30" s="9"/>
    </row>
    <row r="31" spans="1:11" x14ac:dyDescent="0.25">
      <c r="A31" t="s">
        <v>345</v>
      </c>
      <c r="B31" s="24" t="s">
        <v>732</v>
      </c>
      <c r="D31" s="9">
        <v>0</v>
      </c>
      <c r="E31" s="9">
        <v>0</v>
      </c>
      <c r="F31" s="9">
        <v>0</v>
      </c>
      <c r="G31" s="9">
        <v>0</v>
      </c>
      <c r="H31" s="34">
        <v>0</v>
      </c>
      <c r="I31" s="9">
        <v>0</v>
      </c>
      <c r="J31" s="9">
        <v>2500</v>
      </c>
    </row>
    <row r="32" spans="1:11" x14ac:dyDescent="0.25">
      <c r="A32" t="s">
        <v>105</v>
      </c>
      <c r="D32" s="9"/>
      <c r="E32" s="9"/>
      <c r="F32" s="9"/>
      <c r="G32" s="9"/>
      <c r="H32" s="9"/>
      <c r="I32" s="9"/>
      <c r="J32" s="9"/>
    </row>
    <row r="33" spans="1:10" x14ac:dyDescent="0.25">
      <c r="A33" s="10" t="s">
        <v>538</v>
      </c>
      <c r="B33" s="10" t="s">
        <v>539</v>
      </c>
      <c r="D33" s="9">
        <v>0</v>
      </c>
      <c r="E33" s="9">
        <v>0</v>
      </c>
      <c r="F33" s="34">
        <v>100</v>
      </c>
      <c r="G33" s="9">
        <v>0</v>
      </c>
      <c r="H33" s="9">
        <v>200</v>
      </c>
      <c r="I33" s="9">
        <v>0</v>
      </c>
      <c r="J33" s="9">
        <v>200</v>
      </c>
    </row>
    <row r="34" spans="1:10" x14ac:dyDescent="0.25">
      <c r="A34" s="10" t="s">
        <v>537</v>
      </c>
      <c r="B34" s="24" t="s">
        <v>1314</v>
      </c>
      <c r="D34" s="9">
        <v>1500</v>
      </c>
      <c r="E34" s="9">
        <v>6886.05</v>
      </c>
      <c r="F34" s="34">
        <v>1500</v>
      </c>
      <c r="G34" s="9">
        <v>1142.3599999999999</v>
      </c>
      <c r="H34" s="9">
        <v>2000</v>
      </c>
      <c r="I34" s="9">
        <v>1809.2</v>
      </c>
      <c r="J34" s="9">
        <v>2000</v>
      </c>
    </row>
    <row r="35" spans="1:10" x14ac:dyDescent="0.25">
      <c r="D35" s="9"/>
      <c r="E35" s="9"/>
      <c r="F35" s="9"/>
      <c r="G35" s="9"/>
      <c r="H35" s="9"/>
      <c r="I35" s="9"/>
      <c r="J35" s="9"/>
    </row>
    <row r="36" spans="1:10" x14ac:dyDescent="0.25">
      <c r="B36" s="22" t="s">
        <v>57</v>
      </c>
      <c r="D36" s="9">
        <f t="shared" ref="D36:I36" si="2">SUM(D13:D34)</f>
        <v>13165</v>
      </c>
      <c r="E36" s="9">
        <f t="shared" si="2"/>
        <v>15424.43</v>
      </c>
      <c r="F36" s="9">
        <f t="shared" si="2"/>
        <v>13865</v>
      </c>
      <c r="G36" s="9">
        <f t="shared" si="2"/>
        <v>11104.64</v>
      </c>
      <c r="H36" s="9">
        <f t="shared" si="2"/>
        <v>15041.5</v>
      </c>
      <c r="I36" s="9">
        <f t="shared" si="2"/>
        <v>14623.960000000001</v>
      </c>
      <c r="J36" s="9">
        <f>SUM(J13:J35)</f>
        <v>15258</v>
      </c>
    </row>
    <row r="38" spans="1:10" x14ac:dyDescent="0.25">
      <c r="A38" s="10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3"/>
  <sheetViews>
    <sheetView workbookViewId="0">
      <selection activeCell="A13" sqref="A13"/>
    </sheetView>
  </sheetViews>
  <sheetFormatPr defaultRowHeight="13.2" x14ac:dyDescent="0.25"/>
  <cols>
    <col min="1" max="1" width="17.6640625" customWidth="1"/>
    <col min="2" max="2" width="28.5546875" customWidth="1"/>
    <col min="3" max="3" width="5.6640625" customWidth="1"/>
    <col min="4" max="8" width="11.6640625" customWidth="1"/>
    <col min="9" max="9" width="11.88671875" customWidth="1"/>
    <col min="10" max="10" width="11.6640625" customWidth="1"/>
  </cols>
  <sheetData>
    <row r="1" spans="1:11" ht="15.6" x14ac:dyDescent="0.3">
      <c r="B1" s="11" t="s">
        <v>595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1" x14ac:dyDescent="0.25">
      <c r="D2" s="1" t="s">
        <v>501</v>
      </c>
      <c r="E2" s="1" t="s">
        <v>1179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3" spans="1:11" x14ac:dyDescent="0.25">
      <c r="F3" s="24"/>
      <c r="G3" s="24"/>
      <c r="H3" s="24"/>
      <c r="J3" s="43"/>
    </row>
    <row r="5" spans="1:11" x14ac:dyDescent="0.25">
      <c r="A5" s="24" t="s">
        <v>77</v>
      </c>
      <c r="B5" s="10"/>
    </row>
    <row r="6" spans="1:11" x14ac:dyDescent="0.25">
      <c r="A6" s="24" t="s">
        <v>587</v>
      </c>
      <c r="B6" s="24" t="s">
        <v>588</v>
      </c>
      <c r="D6" s="9">
        <v>300</v>
      </c>
      <c r="E6" s="9">
        <v>324</v>
      </c>
      <c r="F6" s="9">
        <v>300</v>
      </c>
      <c r="G6" s="9">
        <v>324</v>
      </c>
      <c r="H6" s="9">
        <v>300</v>
      </c>
      <c r="I6" s="9">
        <v>324</v>
      </c>
      <c r="J6" s="9">
        <v>300</v>
      </c>
    </row>
    <row r="7" spans="1:11" x14ac:dyDescent="0.25">
      <c r="D7" s="9"/>
      <c r="E7" s="9"/>
      <c r="F7" s="9"/>
      <c r="G7" s="9"/>
      <c r="H7" s="9"/>
      <c r="I7" s="9"/>
      <c r="J7" s="9"/>
    </row>
    <row r="8" spans="1:11" x14ac:dyDescent="0.25">
      <c r="B8" s="26" t="s">
        <v>57</v>
      </c>
      <c r="D8" s="9">
        <v>300</v>
      </c>
      <c r="E8" s="9">
        <v>324</v>
      </c>
      <c r="F8" s="9">
        <f>F6</f>
        <v>300</v>
      </c>
      <c r="G8" s="9">
        <f>G6</f>
        <v>324</v>
      </c>
      <c r="H8" s="9">
        <v>300</v>
      </c>
      <c r="I8" s="9">
        <v>324</v>
      </c>
      <c r="J8" s="9">
        <f t="shared" ref="J8" si="0">SUM(J3:J7)</f>
        <v>300</v>
      </c>
      <c r="K8" s="24"/>
    </row>
    <row r="9" spans="1:11" x14ac:dyDescent="0.25">
      <c r="E9" s="9"/>
    </row>
    <row r="12" spans="1:11" x14ac:dyDescent="0.25">
      <c r="A12" s="110" t="s">
        <v>1281</v>
      </c>
    </row>
    <row r="13" spans="1:11" x14ac:dyDescent="0.25">
      <c r="A13" s="24" t="s">
        <v>1337</v>
      </c>
    </row>
  </sheetData>
  <pageMargins left="0.25" right="0.25" top="0.75" bottom="0.75" header="0.3" footer="0.3"/>
  <pageSetup orientation="landscape" copies="6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67"/>
  <sheetViews>
    <sheetView workbookViewId="0">
      <selection activeCell="F77" sqref="F77"/>
    </sheetView>
  </sheetViews>
  <sheetFormatPr defaultRowHeight="13.2" x14ac:dyDescent="0.25"/>
  <cols>
    <col min="1" max="1" width="23.44140625" customWidth="1"/>
    <col min="2" max="2" width="27.5546875" customWidth="1"/>
    <col min="3" max="3" width="5.6640625" customWidth="1"/>
    <col min="4" max="9" width="11.6640625" customWidth="1"/>
  </cols>
  <sheetData>
    <row r="1" spans="1:10" ht="15.6" x14ac:dyDescent="0.3">
      <c r="B1" s="11" t="s">
        <v>798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</row>
    <row r="2" spans="1:10" ht="15.6" x14ac:dyDescent="0.3">
      <c r="B2" s="11" t="s">
        <v>799</v>
      </c>
      <c r="D2" s="1" t="s">
        <v>501</v>
      </c>
      <c r="E2" s="1" t="s">
        <v>1370</v>
      </c>
      <c r="F2" s="36" t="s">
        <v>501</v>
      </c>
      <c r="G2" s="36" t="s">
        <v>794</v>
      </c>
      <c r="H2" s="36" t="s">
        <v>501</v>
      </c>
      <c r="I2" s="36" t="s">
        <v>794</v>
      </c>
    </row>
    <row r="3" spans="1:10" x14ac:dyDescent="0.25">
      <c r="A3" t="s">
        <v>76</v>
      </c>
    </row>
    <row r="4" spans="1:10" x14ac:dyDescent="0.25">
      <c r="A4" s="24" t="s">
        <v>1251</v>
      </c>
      <c r="B4" s="24" t="s">
        <v>680</v>
      </c>
      <c r="D4" s="9">
        <v>0</v>
      </c>
      <c r="E4" s="9">
        <v>9.5399999999999991</v>
      </c>
      <c r="F4" s="9">
        <v>0</v>
      </c>
      <c r="G4" s="9">
        <v>14.42</v>
      </c>
      <c r="H4" s="9">
        <v>0</v>
      </c>
      <c r="I4" s="9">
        <v>0</v>
      </c>
    </row>
    <row r="5" spans="1:10" x14ac:dyDescent="0.25">
      <c r="A5" t="s">
        <v>37</v>
      </c>
      <c r="B5" t="s">
        <v>38</v>
      </c>
      <c r="D5" s="9">
        <v>5000</v>
      </c>
      <c r="E5" s="9">
        <v>93.55</v>
      </c>
      <c r="F5" s="34">
        <v>7000</v>
      </c>
      <c r="G5" s="9">
        <v>7658.42</v>
      </c>
      <c r="H5" s="9">
        <v>5000</v>
      </c>
      <c r="I5" s="9">
        <v>5780.59</v>
      </c>
      <c r="J5" s="34"/>
    </row>
    <row r="6" spans="1:10" x14ac:dyDescent="0.25">
      <c r="A6" s="24" t="s">
        <v>1092</v>
      </c>
      <c r="B6" s="24" t="s">
        <v>1093</v>
      </c>
      <c r="D6" s="9">
        <v>0</v>
      </c>
      <c r="E6" s="9">
        <v>0</v>
      </c>
      <c r="F6" s="34">
        <v>0</v>
      </c>
      <c r="G6" s="9">
        <v>0</v>
      </c>
      <c r="H6" s="9">
        <v>0</v>
      </c>
      <c r="I6" s="9">
        <v>200</v>
      </c>
      <c r="J6" s="34"/>
    </row>
    <row r="7" spans="1:10" x14ac:dyDescent="0.25">
      <c r="A7" s="10" t="s">
        <v>560</v>
      </c>
      <c r="B7" s="10" t="s">
        <v>561</v>
      </c>
      <c r="D7" s="9">
        <v>100</v>
      </c>
      <c r="E7" s="9">
        <v>0</v>
      </c>
      <c r="F7" s="34">
        <v>100</v>
      </c>
      <c r="G7" s="9">
        <v>100</v>
      </c>
      <c r="H7" s="9">
        <v>0</v>
      </c>
      <c r="I7" s="9">
        <v>100</v>
      </c>
    </row>
    <row r="8" spans="1:10" x14ac:dyDescent="0.25">
      <c r="B8" t="s">
        <v>196</v>
      </c>
      <c r="D8" s="9">
        <v>29256</v>
      </c>
      <c r="E8" s="9">
        <v>23256</v>
      </c>
      <c r="F8" s="34">
        <v>23256</v>
      </c>
      <c r="G8" s="9">
        <v>41178.54</v>
      </c>
      <c r="H8" s="9">
        <v>36500</v>
      </c>
      <c r="I8" s="9">
        <v>24688.65</v>
      </c>
    </row>
    <row r="9" spans="1:10" x14ac:dyDescent="0.25">
      <c r="D9" s="9"/>
      <c r="E9" s="9"/>
      <c r="F9" s="9"/>
      <c r="G9" s="9"/>
      <c r="H9" s="9"/>
      <c r="I9" s="9"/>
    </row>
    <row r="10" spans="1:10" x14ac:dyDescent="0.25">
      <c r="B10" s="22" t="s">
        <v>57</v>
      </c>
      <c r="D10" s="9">
        <f>SUM(D4:D8)</f>
        <v>34356</v>
      </c>
      <c r="E10" s="9">
        <f>SUM(E4:E8)</f>
        <v>23359.09</v>
      </c>
      <c r="F10" s="9">
        <f>SUM(F5:F8)</f>
        <v>30356</v>
      </c>
      <c r="G10" s="9">
        <f>SUM(G5:G8)</f>
        <v>48936.959999999999</v>
      </c>
      <c r="H10" s="9">
        <f>SUM(H5:H8)</f>
        <v>41500</v>
      </c>
      <c r="I10" s="9">
        <f>SUM(I5:I9)</f>
        <v>30769.24</v>
      </c>
    </row>
    <row r="11" spans="1:10" x14ac:dyDescent="0.25">
      <c r="A11" t="s">
        <v>77</v>
      </c>
      <c r="D11" s="9"/>
      <c r="E11" s="9"/>
      <c r="F11" s="9"/>
      <c r="G11" s="9"/>
      <c r="H11" s="9"/>
    </row>
    <row r="12" spans="1:10" x14ac:dyDescent="0.25">
      <c r="A12" t="s">
        <v>190</v>
      </c>
      <c r="D12" s="9"/>
      <c r="E12" s="9"/>
      <c r="F12" s="9"/>
      <c r="G12" s="9"/>
      <c r="H12" s="9"/>
    </row>
    <row r="13" spans="1:10" x14ac:dyDescent="0.25">
      <c r="A13" t="s">
        <v>44</v>
      </c>
      <c r="B13" t="s">
        <v>46</v>
      </c>
      <c r="D13" s="9">
        <v>4000</v>
      </c>
      <c r="E13" s="9">
        <v>4358.04</v>
      </c>
      <c r="F13" s="9">
        <v>4000</v>
      </c>
      <c r="G13" s="9">
        <v>4843.1499999999996</v>
      </c>
      <c r="H13" s="9">
        <v>4000</v>
      </c>
      <c r="I13" s="9">
        <v>3861.37</v>
      </c>
    </row>
    <row r="14" spans="1:10" x14ac:dyDescent="0.25">
      <c r="A14" t="s">
        <v>186</v>
      </c>
      <c r="D14" s="9"/>
      <c r="E14" s="9"/>
      <c r="F14" s="9"/>
      <c r="G14" s="9"/>
      <c r="H14" s="9"/>
      <c r="I14" s="9"/>
    </row>
    <row r="15" spans="1:10" x14ac:dyDescent="0.25">
      <c r="A15" s="24" t="s">
        <v>795</v>
      </c>
      <c r="B15" s="24" t="s">
        <v>188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10" x14ac:dyDescent="0.25">
      <c r="A16" t="s">
        <v>173</v>
      </c>
      <c r="B16" t="s">
        <v>80</v>
      </c>
      <c r="D16" s="9">
        <v>248</v>
      </c>
      <c r="E16" s="9">
        <v>278.48</v>
      </c>
      <c r="F16" s="9">
        <v>248</v>
      </c>
      <c r="G16" s="9">
        <v>295.42</v>
      </c>
      <c r="H16" s="9">
        <f>0.062*H13</f>
        <v>248</v>
      </c>
      <c r="I16" s="9">
        <v>237.7</v>
      </c>
    </row>
    <row r="17" spans="1:9" x14ac:dyDescent="0.25">
      <c r="A17" t="s">
        <v>174</v>
      </c>
      <c r="B17" t="s">
        <v>82</v>
      </c>
      <c r="D17" s="9">
        <v>58</v>
      </c>
      <c r="E17" s="9">
        <v>65.31</v>
      </c>
      <c r="F17" s="9">
        <v>58</v>
      </c>
      <c r="G17" s="9">
        <v>69.08</v>
      </c>
      <c r="H17" s="9">
        <f>0.0145*H13</f>
        <v>58</v>
      </c>
      <c r="I17" s="9">
        <v>55.74</v>
      </c>
    </row>
    <row r="18" spans="1:9" x14ac:dyDescent="0.25">
      <c r="A18" s="10" t="s">
        <v>546</v>
      </c>
      <c r="D18" s="9"/>
      <c r="E18" s="9"/>
      <c r="F18" s="9"/>
      <c r="G18" s="9"/>
      <c r="H18" s="9"/>
      <c r="I18" s="9"/>
    </row>
    <row r="19" spans="1:9" x14ac:dyDescent="0.25">
      <c r="A19" s="10" t="s">
        <v>542</v>
      </c>
      <c r="B19" s="10" t="s">
        <v>180</v>
      </c>
      <c r="D19" s="9">
        <v>100</v>
      </c>
      <c r="E19" s="9">
        <v>76</v>
      </c>
      <c r="F19" s="9">
        <v>100</v>
      </c>
      <c r="G19" s="9">
        <v>44</v>
      </c>
      <c r="H19" s="9">
        <v>100</v>
      </c>
      <c r="I19" s="9">
        <v>0</v>
      </c>
    </row>
    <row r="20" spans="1:9" x14ac:dyDescent="0.25">
      <c r="A20" t="s">
        <v>147</v>
      </c>
      <c r="D20" s="9"/>
      <c r="E20" s="9"/>
      <c r="F20" s="9"/>
      <c r="G20" s="9"/>
      <c r="H20" s="9"/>
      <c r="I20" s="9"/>
    </row>
    <row r="21" spans="1:9" x14ac:dyDescent="0.25">
      <c r="A21" t="s">
        <v>175</v>
      </c>
      <c r="B21" t="s">
        <v>149</v>
      </c>
      <c r="D21" s="9">
        <v>5000</v>
      </c>
      <c r="E21" s="9">
        <v>2881.8</v>
      </c>
      <c r="F21" s="9">
        <v>5000</v>
      </c>
      <c r="G21" s="9">
        <v>3570.24</v>
      </c>
      <c r="H21" s="9">
        <v>5000</v>
      </c>
      <c r="I21" s="9">
        <v>4326.6899999999996</v>
      </c>
    </row>
    <row r="22" spans="1:9" x14ac:dyDescent="0.25">
      <c r="A22" t="s">
        <v>64</v>
      </c>
      <c r="B22" t="s">
        <v>31</v>
      </c>
      <c r="D22" s="9">
        <v>500</v>
      </c>
      <c r="E22" s="9">
        <v>170</v>
      </c>
      <c r="F22" s="9">
        <v>500</v>
      </c>
      <c r="G22" s="9">
        <v>215</v>
      </c>
      <c r="H22" s="9">
        <v>500</v>
      </c>
      <c r="I22" s="9">
        <v>386</v>
      </c>
    </row>
    <row r="23" spans="1:9" x14ac:dyDescent="0.25">
      <c r="A23" t="s">
        <v>23</v>
      </c>
      <c r="D23" s="9"/>
      <c r="E23" s="9"/>
      <c r="F23" s="9"/>
      <c r="G23" s="9"/>
      <c r="H23" s="9"/>
      <c r="I23" s="9"/>
    </row>
    <row r="24" spans="1:9" x14ac:dyDescent="0.25">
      <c r="A24" t="s">
        <v>65</v>
      </c>
      <c r="B24" t="s">
        <v>139</v>
      </c>
      <c r="D24" s="9">
        <v>1000</v>
      </c>
      <c r="E24" s="9">
        <v>49.4</v>
      </c>
      <c r="F24" s="9">
        <v>1000</v>
      </c>
      <c r="G24" s="9">
        <v>1145.44</v>
      </c>
      <c r="H24" s="9">
        <v>1000</v>
      </c>
      <c r="I24" s="9">
        <v>1077.93</v>
      </c>
    </row>
    <row r="25" spans="1:9" x14ac:dyDescent="0.25">
      <c r="A25" s="10" t="s">
        <v>543</v>
      </c>
      <c r="B25" s="10" t="s">
        <v>544</v>
      </c>
      <c r="D25" s="9">
        <v>300</v>
      </c>
      <c r="E25" s="9">
        <v>0</v>
      </c>
      <c r="F25" s="9">
        <v>300</v>
      </c>
      <c r="G25" s="9">
        <v>93.15</v>
      </c>
      <c r="H25" s="9">
        <v>300</v>
      </c>
      <c r="I25" s="9">
        <v>0</v>
      </c>
    </row>
    <row r="26" spans="1:9" x14ac:dyDescent="0.25">
      <c r="A26" s="24" t="s">
        <v>929</v>
      </c>
      <c r="B26" s="24" t="s">
        <v>930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x14ac:dyDescent="0.25">
      <c r="A27" t="s">
        <v>6</v>
      </c>
      <c r="D27" s="9"/>
      <c r="E27" s="9"/>
      <c r="F27" s="9"/>
      <c r="G27" s="9"/>
      <c r="H27" s="9"/>
      <c r="I27" s="9"/>
    </row>
    <row r="28" spans="1:9" x14ac:dyDescent="0.25">
      <c r="A28" t="s">
        <v>66</v>
      </c>
      <c r="B28" s="24" t="s">
        <v>92</v>
      </c>
      <c r="D28" s="9">
        <v>3000</v>
      </c>
      <c r="E28" s="9">
        <v>3465.25</v>
      </c>
      <c r="F28" s="9">
        <v>3000</v>
      </c>
      <c r="G28" s="9">
        <v>4712</v>
      </c>
      <c r="H28" s="9">
        <v>3000</v>
      </c>
      <c r="I28" s="9">
        <v>4194.75</v>
      </c>
    </row>
    <row r="29" spans="1:9" x14ac:dyDescent="0.25">
      <c r="A29" t="s">
        <v>5</v>
      </c>
      <c r="D29" s="9"/>
      <c r="E29" s="9"/>
      <c r="F29" s="9"/>
      <c r="G29" s="9"/>
      <c r="H29" s="9"/>
      <c r="I29" s="9"/>
    </row>
    <row r="30" spans="1:9" x14ac:dyDescent="0.25">
      <c r="A30" s="10" t="s">
        <v>545</v>
      </c>
      <c r="B30" t="s">
        <v>87</v>
      </c>
      <c r="D30" s="9">
        <v>700</v>
      </c>
      <c r="E30" s="9">
        <v>821.69</v>
      </c>
      <c r="F30" s="9">
        <v>700</v>
      </c>
      <c r="G30" s="9">
        <v>928.1</v>
      </c>
      <c r="H30" s="9">
        <v>700</v>
      </c>
      <c r="I30" s="9">
        <v>994.58</v>
      </c>
    </row>
    <row r="31" spans="1:9" x14ac:dyDescent="0.25">
      <c r="A31" t="s">
        <v>126</v>
      </c>
      <c r="D31" s="9"/>
      <c r="E31" s="9"/>
      <c r="F31" s="9"/>
      <c r="G31" s="9"/>
      <c r="H31" s="9"/>
      <c r="I31" s="9"/>
    </row>
    <row r="32" spans="1:9" x14ac:dyDescent="0.25">
      <c r="A32" t="s">
        <v>67</v>
      </c>
      <c r="B32" t="s">
        <v>84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11" x14ac:dyDescent="0.25">
      <c r="A33" t="s">
        <v>68</v>
      </c>
      <c r="B33" t="s">
        <v>128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11" x14ac:dyDescent="0.25">
      <c r="A34" t="s">
        <v>119</v>
      </c>
      <c r="D34" s="9"/>
      <c r="E34" s="9"/>
      <c r="F34" s="9"/>
      <c r="G34" s="9"/>
      <c r="H34" s="9"/>
      <c r="I34" s="9"/>
    </row>
    <row r="35" spans="1:11" x14ac:dyDescent="0.25">
      <c r="A35" t="s">
        <v>69</v>
      </c>
      <c r="B35" t="s">
        <v>120</v>
      </c>
      <c r="D35" s="9">
        <v>5000</v>
      </c>
      <c r="E35" s="9">
        <v>3076.3</v>
      </c>
      <c r="F35" s="9">
        <v>5000</v>
      </c>
      <c r="G35" s="9">
        <v>5212.8500000000004</v>
      </c>
      <c r="H35" s="9">
        <v>5000</v>
      </c>
      <c r="I35" s="9">
        <v>5725.91</v>
      </c>
    </row>
    <row r="36" spans="1:11" x14ac:dyDescent="0.25">
      <c r="A36" t="s">
        <v>70</v>
      </c>
      <c r="B36" t="s">
        <v>121</v>
      </c>
      <c r="D36" s="9">
        <v>400</v>
      </c>
      <c r="E36" s="9">
        <v>155.32</v>
      </c>
      <c r="F36" s="9">
        <v>400</v>
      </c>
      <c r="G36" s="9">
        <v>296.82</v>
      </c>
      <c r="H36" s="9">
        <v>400</v>
      </c>
      <c r="I36" s="9">
        <v>318.55</v>
      </c>
      <c r="K36" s="24"/>
    </row>
    <row r="37" spans="1:11" x14ac:dyDescent="0.25">
      <c r="A37" t="s">
        <v>71</v>
      </c>
      <c r="B37" t="s">
        <v>122</v>
      </c>
      <c r="D37" s="9">
        <v>2500</v>
      </c>
      <c r="E37" s="9">
        <v>1697.3</v>
      </c>
      <c r="F37" s="9">
        <v>2500</v>
      </c>
      <c r="G37" s="9">
        <v>2220.94</v>
      </c>
      <c r="H37" s="9">
        <v>2500</v>
      </c>
      <c r="I37" s="9">
        <v>2535.36</v>
      </c>
    </row>
    <row r="38" spans="1:11" x14ac:dyDescent="0.25">
      <c r="A38" t="s">
        <v>72</v>
      </c>
      <c r="B38" t="s">
        <v>123</v>
      </c>
      <c r="D38" s="9">
        <v>2900</v>
      </c>
      <c r="E38" s="9">
        <v>2043.08</v>
      </c>
      <c r="F38" s="9">
        <v>2900</v>
      </c>
      <c r="G38" s="9">
        <v>2451.08</v>
      </c>
      <c r="H38" s="9">
        <v>2900</v>
      </c>
      <c r="I38" s="9">
        <v>2451.06</v>
      </c>
    </row>
    <row r="39" spans="1:11" x14ac:dyDescent="0.25">
      <c r="A39" t="s">
        <v>73</v>
      </c>
      <c r="B39" t="s">
        <v>124</v>
      </c>
      <c r="D39" s="9">
        <v>400</v>
      </c>
      <c r="E39" s="9">
        <v>188.6</v>
      </c>
      <c r="F39" s="9">
        <v>400</v>
      </c>
      <c r="G39" s="9">
        <v>318.07</v>
      </c>
      <c r="H39" s="9">
        <v>400</v>
      </c>
      <c r="I39" s="9">
        <v>363.37</v>
      </c>
    </row>
    <row r="40" spans="1:11" x14ac:dyDescent="0.25">
      <c r="A40" t="s">
        <v>839</v>
      </c>
      <c r="D40" s="9"/>
      <c r="E40" s="9"/>
      <c r="F40" s="9"/>
      <c r="G40" s="9"/>
      <c r="H40" s="9"/>
      <c r="I40" s="9"/>
    </row>
    <row r="41" spans="1:11" x14ac:dyDescent="0.25">
      <c r="A41" t="s">
        <v>840</v>
      </c>
      <c r="B41" t="s">
        <v>699</v>
      </c>
      <c r="D41" s="9">
        <v>250</v>
      </c>
      <c r="E41" s="9">
        <v>0</v>
      </c>
      <c r="F41" s="9">
        <v>250</v>
      </c>
      <c r="G41" s="9">
        <v>438</v>
      </c>
      <c r="H41" s="9">
        <v>250</v>
      </c>
      <c r="I41" s="9">
        <v>235</v>
      </c>
    </row>
    <row r="42" spans="1:11" x14ac:dyDescent="0.25">
      <c r="A42" t="s">
        <v>490</v>
      </c>
      <c r="D42" s="9"/>
      <c r="E42" s="9"/>
      <c r="F42" s="9"/>
      <c r="G42" s="9"/>
      <c r="H42" s="9"/>
      <c r="I42" s="9"/>
    </row>
    <row r="43" spans="1:11" x14ac:dyDescent="0.25">
      <c r="A43" t="s">
        <v>640</v>
      </c>
      <c r="B43" t="s">
        <v>626</v>
      </c>
      <c r="D43" s="9"/>
      <c r="E43" s="9">
        <v>0</v>
      </c>
      <c r="F43" s="9">
        <v>1000</v>
      </c>
      <c r="G43" s="9">
        <v>9377.06</v>
      </c>
      <c r="H43" s="9">
        <v>8000</v>
      </c>
      <c r="I43" s="9">
        <v>4252</v>
      </c>
    </row>
    <row r="44" spans="1:11" x14ac:dyDescent="0.25">
      <c r="A44" t="s">
        <v>114</v>
      </c>
      <c r="D44" s="9"/>
      <c r="E44" s="9"/>
      <c r="F44" s="9"/>
      <c r="G44" s="9"/>
      <c r="H44" s="9"/>
      <c r="I44" s="9"/>
    </row>
    <row r="45" spans="1:11" x14ac:dyDescent="0.25">
      <c r="A45" t="s">
        <v>74</v>
      </c>
      <c r="B45" s="24" t="s">
        <v>876</v>
      </c>
      <c r="D45" s="9">
        <v>7000</v>
      </c>
      <c r="E45" s="9">
        <v>0</v>
      </c>
      <c r="F45" s="9">
        <v>2000</v>
      </c>
      <c r="G45" s="9">
        <v>13316.63</v>
      </c>
      <c r="H45" s="34">
        <v>6000</v>
      </c>
      <c r="I45" s="9">
        <v>0</v>
      </c>
    </row>
    <row r="46" spans="1:11" x14ac:dyDescent="0.25">
      <c r="A46" t="s">
        <v>75</v>
      </c>
      <c r="B46" t="s">
        <v>117</v>
      </c>
      <c r="D46" s="9">
        <v>1000</v>
      </c>
      <c r="E46" s="9">
        <v>0</v>
      </c>
      <c r="F46" s="9">
        <v>1000</v>
      </c>
      <c r="G46" s="9">
        <v>460</v>
      </c>
      <c r="H46" s="9">
        <v>1000</v>
      </c>
      <c r="I46" s="9">
        <v>0</v>
      </c>
    </row>
    <row r="47" spans="1:11" x14ac:dyDescent="0.25">
      <c r="D47" s="9"/>
      <c r="E47" s="9"/>
      <c r="F47" s="9"/>
      <c r="G47" s="9"/>
      <c r="H47" s="9"/>
      <c r="I47" s="9"/>
      <c r="K47" s="24"/>
    </row>
    <row r="48" spans="1:11" x14ac:dyDescent="0.25">
      <c r="B48" s="22" t="s">
        <v>57</v>
      </c>
      <c r="D48" s="9">
        <f t="shared" ref="D48:I48" si="0">SUM(D13:D46)</f>
        <v>34356</v>
      </c>
      <c r="E48" s="9">
        <f t="shared" si="0"/>
        <v>19326.57</v>
      </c>
      <c r="F48" s="9">
        <f t="shared" si="0"/>
        <v>30356</v>
      </c>
      <c r="G48" s="9">
        <f t="shared" si="0"/>
        <v>50007.029999999992</v>
      </c>
      <c r="H48" s="9">
        <f t="shared" si="0"/>
        <v>41356</v>
      </c>
      <c r="I48" s="9">
        <f t="shared" si="0"/>
        <v>31016.01</v>
      </c>
    </row>
    <row r="49" spans="1:2" x14ac:dyDescent="0.25">
      <c r="A49" s="10"/>
    </row>
    <row r="51" spans="1:2" x14ac:dyDescent="0.25">
      <c r="A51" s="110" t="s">
        <v>1049</v>
      </c>
    </row>
    <row r="52" spans="1:2" x14ac:dyDescent="0.25">
      <c r="A52" s="24" t="s">
        <v>1128</v>
      </c>
      <c r="B52" s="9">
        <v>4000</v>
      </c>
    </row>
    <row r="53" spans="1:2" x14ac:dyDescent="0.25">
      <c r="A53" s="24" t="s">
        <v>1130</v>
      </c>
      <c r="B53" s="49">
        <v>2000</v>
      </c>
    </row>
    <row r="54" spans="1:2" x14ac:dyDescent="0.25">
      <c r="A54" s="24" t="s">
        <v>1129</v>
      </c>
      <c r="B54" s="9">
        <v>4000</v>
      </c>
    </row>
    <row r="56" spans="1:2" x14ac:dyDescent="0.25">
      <c r="A56" s="110" t="s">
        <v>1109</v>
      </c>
    </row>
    <row r="57" spans="1:2" x14ac:dyDescent="0.25">
      <c r="A57" s="24" t="s">
        <v>1147</v>
      </c>
      <c r="B57" s="9">
        <v>8000</v>
      </c>
    </row>
    <row r="58" spans="1:2" x14ac:dyDescent="0.25">
      <c r="A58" s="24" t="s">
        <v>1170</v>
      </c>
      <c r="B58" s="9">
        <v>6000</v>
      </c>
    </row>
    <row r="60" spans="1:2" x14ac:dyDescent="0.25">
      <c r="A60" s="110" t="s">
        <v>1125</v>
      </c>
    </row>
    <row r="61" spans="1:2" x14ac:dyDescent="0.25">
      <c r="A61" s="24" t="s">
        <v>1195</v>
      </c>
      <c r="B61" s="9">
        <v>2000</v>
      </c>
    </row>
    <row r="62" spans="1:2" x14ac:dyDescent="0.25">
      <c r="A62" s="24" t="s">
        <v>1228</v>
      </c>
      <c r="B62" s="24" t="s">
        <v>1229</v>
      </c>
    </row>
    <row r="64" spans="1:2" x14ac:dyDescent="0.25">
      <c r="A64" s="110" t="s">
        <v>1273</v>
      </c>
    </row>
    <row r="65" spans="1:2" x14ac:dyDescent="0.25">
      <c r="A65" s="24" t="s">
        <v>1228</v>
      </c>
      <c r="B65" s="24" t="s">
        <v>1229</v>
      </c>
    </row>
    <row r="66" spans="1:2" x14ac:dyDescent="0.25">
      <c r="A66" s="24" t="s">
        <v>1338</v>
      </c>
      <c r="B66" s="9">
        <v>2000</v>
      </c>
    </row>
    <row r="67" spans="1:2" x14ac:dyDescent="0.25">
      <c r="A67" s="24" t="s">
        <v>1339</v>
      </c>
      <c r="B67" s="9">
        <v>5000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zoomScaleNormal="100" workbookViewId="0">
      <selection activeCell="C48" sqref="C48"/>
    </sheetView>
  </sheetViews>
  <sheetFormatPr defaultRowHeight="13.2" x14ac:dyDescent="0.25"/>
  <cols>
    <col min="1" max="1" width="39.33203125" customWidth="1"/>
    <col min="3" max="3" width="11.6640625" customWidth="1"/>
    <col min="4" max="4" width="13.5546875" bestFit="1" customWidth="1"/>
    <col min="5" max="9" width="11.6640625" customWidth="1"/>
  </cols>
  <sheetData>
    <row r="1" spans="1:9" ht="15.6" x14ac:dyDescent="0.3">
      <c r="A1" s="11" t="s">
        <v>478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  <c r="I1" s="36">
        <v>2018</v>
      </c>
    </row>
    <row r="2" spans="1:9" x14ac:dyDescent="0.25">
      <c r="C2" s="1" t="s">
        <v>501</v>
      </c>
      <c r="D2" s="1" t="s">
        <v>1179</v>
      </c>
      <c r="E2" s="36" t="s">
        <v>501</v>
      </c>
      <c r="F2" s="36" t="s">
        <v>794</v>
      </c>
      <c r="G2" s="36" t="s">
        <v>501</v>
      </c>
      <c r="H2" s="36" t="s">
        <v>794</v>
      </c>
      <c r="I2" s="36" t="s">
        <v>501</v>
      </c>
    </row>
    <row r="3" spans="1:9" x14ac:dyDescent="0.25">
      <c r="A3" t="s">
        <v>462</v>
      </c>
      <c r="B3">
        <v>30100</v>
      </c>
      <c r="C3" s="9">
        <f>'BUDGET SUMMARY'!A6</f>
        <v>386261</v>
      </c>
      <c r="D3" s="9">
        <v>256576.87</v>
      </c>
      <c r="E3" s="9">
        <f>'BUDGET SUMMARY'!A6</f>
        <v>386261</v>
      </c>
      <c r="F3" s="9">
        <f>469201.56-F4</f>
        <v>462835.56</v>
      </c>
      <c r="G3" s="9">
        <v>379080</v>
      </c>
      <c r="H3" s="9">
        <v>486475.77</v>
      </c>
      <c r="I3" s="9">
        <v>388565</v>
      </c>
    </row>
    <row r="4" spans="1:9" x14ac:dyDescent="0.25">
      <c r="A4" s="24" t="s">
        <v>202</v>
      </c>
      <c r="C4" s="9">
        <v>1725</v>
      </c>
      <c r="D4" s="16">
        <v>0</v>
      </c>
      <c r="E4" s="9">
        <v>4300</v>
      </c>
      <c r="F4" s="9">
        <v>6366</v>
      </c>
      <c r="G4" s="9">
        <v>7000</v>
      </c>
      <c r="H4" s="9">
        <f t="shared" ref="H4" si="0">SUM(B4)</f>
        <v>0</v>
      </c>
      <c r="I4" s="9">
        <v>9500</v>
      </c>
    </row>
    <row r="5" spans="1:9" x14ac:dyDescent="0.25">
      <c r="B5" s="91" t="s">
        <v>740</v>
      </c>
      <c r="C5" s="96">
        <f>SUM(C3:C4)</f>
        <v>387986</v>
      </c>
      <c r="D5" s="96">
        <f>SUM(D3:D4)</f>
        <v>256576.87</v>
      </c>
      <c r="E5" s="96">
        <f t="shared" ref="E5:I5" si="1">SUM(E3:E4)</f>
        <v>390561</v>
      </c>
      <c r="F5" s="96">
        <f t="shared" si="1"/>
        <v>469201.56</v>
      </c>
      <c r="G5" s="96">
        <f t="shared" si="1"/>
        <v>386080</v>
      </c>
      <c r="H5" s="96">
        <f t="shared" si="1"/>
        <v>486475.77</v>
      </c>
      <c r="I5" s="96">
        <f t="shared" si="1"/>
        <v>398065</v>
      </c>
    </row>
    <row r="6" spans="1:9" x14ac:dyDescent="0.25">
      <c r="B6" s="91"/>
      <c r="C6" s="96"/>
      <c r="D6" s="151"/>
      <c r="E6" s="96"/>
      <c r="F6" s="96"/>
      <c r="G6" s="96"/>
      <c r="H6" s="91"/>
      <c r="I6" s="96"/>
    </row>
    <row r="7" spans="1:9" x14ac:dyDescent="0.25">
      <c r="C7" s="9"/>
      <c r="D7" s="16"/>
      <c r="E7" s="9"/>
      <c r="F7" s="9"/>
      <c r="G7" s="9"/>
      <c r="I7" s="9"/>
    </row>
    <row r="8" spans="1:9" x14ac:dyDescent="0.25">
      <c r="A8" t="s">
        <v>463</v>
      </c>
      <c r="B8">
        <v>30102</v>
      </c>
      <c r="C8" s="9">
        <v>458187</v>
      </c>
      <c r="D8" s="9">
        <v>226845</v>
      </c>
      <c r="E8" s="9">
        <v>449224</v>
      </c>
      <c r="F8" s="9">
        <v>430457</v>
      </c>
      <c r="G8" s="9">
        <v>430457</v>
      </c>
      <c r="H8" s="9">
        <v>214858</v>
      </c>
      <c r="I8" s="9">
        <v>429716</v>
      </c>
    </row>
    <row r="9" spans="1:9" x14ac:dyDescent="0.25">
      <c r="B9" s="91" t="s">
        <v>740</v>
      </c>
      <c r="C9" s="96">
        <f>SUM(C8)</f>
        <v>458187</v>
      </c>
      <c r="D9" s="96">
        <f>SUM(D8)</f>
        <v>226845</v>
      </c>
      <c r="E9" s="96">
        <f>SUM(E8)</f>
        <v>449224</v>
      </c>
      <c r="F9" s="96">
        <f>SUM(F8)</f>
        <v>430457</v>
      </c>
      <c r="G9" s="96">
        <f>SUM(G8)</f>
        <v>430457</v>
      </c>
      <c r="H9" s="96">
        <f t="shared" ref="H9" si="2">SUM(B9)</f>
        <v>0</v>
      </c>
      <c r="I9" s="96">
        <f>SUM(I8)</f>
        <v>429716</v>
      </c>
    </row>
    <row r="10" spans="1:9" x14ac:dyDescent="0.25">
      <c r="C10" s="9"/>
      <c r="D10" s="16"/>
      <c r="E10" s="9"/>
      <c r="F10" s="9"/>
      <c r="G10" s="9"/>
      <c r="I10" s="9"/>
    </row>
    <row r="11" spans="1:9" x14ac:dyDescent="0.25">
      <c r="C11" s="9"/>
      <c r="D11" s="16"/>
      <c r="E11" s="9"/>
      <c r="F11" s="9"/>
      <c r="G11" s="9"/>
      <c r="I11" s="9"/>
    </row>
    <row r="12" spans="1:9" x14ac:dyDescent="0.25">
      <c r="A12" t="s">
        <v>572</v>
      </c>
      <c r="B12">
        <v>30302</v>
      </c>
      <c r="C12" s="9">
        <v>16000</v>
      </c>
      <c r="D12" s="9">
        <f>2010+16431</f>
        <v>18441</v>
      </c>
      <c r="E12" s="9">
        <v>0</v>
      </c>
      <c r="F12" s="9">
        <v>0</v>
      </c>
      <c r="G12" s="49">
        <v>12500</v>
      </c>
      <c r="H12" s="9">
        <v>0</v>
      </c>
      <c r="I12" s="9">
        <v>12500</v>
      </c>
    </row>
    <row r="13" spans="1:9" x14ac:dyDescent="0.25">
      <c r="A13" t="s">
        <v>658</v>
      </c>
      <c r="B13">
        <v>30500</v>
      </c>
      <c r="C13" s="9">
        <v>200</v>
      </c>
      <c r="D13" s="9">
        <v>155.24</v>
      </c>
      <c r="E13" s="9">
        <v>0</v>
      </c>
      <c r="F13" s="9">
        <v>150.72999999999999</v>
      </c>
      <c r="G13" s="49">
        <v>0</v>
      </c>
      <c r="H13" s="9">
        <v>0</v>
      </c>
      <c r="I13" s="9">
        <v>0</v>
      </c>
    </row>
    <row r="14" spans="1:9" x14ac:dyDescent="0.25">
      <c r="A14" s="10" t="s">
        <v>553</v>
      </c>
      <c r="B14">
        <v>30913</v>
      </c>
      <c r="C14" s="9">
        <v>1290</v>
      </c>
      <c r="D14" s="9">
        <v>0</v>
      </c>
      <c r="E14" s="9">
        <v>1290</v>
      </c>
      <c r="F14" s="9">
        <v>1290</v>
      </c>
      <c r="G14" s="49">
        <v>1290</v>
      </c>
      <c r="H14" s="9">
        <v>645</v>
      </c>
      <c r="I14" s="9">
        <v>1290</v>
      </c>
    </row>
    <row r="15" spans="1:9" x14ac:dyDescent="0.25">
      <c r="A15" s="24" t="s">
        <v>659</v>
      </c>
      <c r="B15">
        <v>31005</v>
      </c>
      <c r="C15" s="9">
        <v>0</v>
      </c>
      <c r="D15" s="9">
        <v>0</v>
      </c>
      <c r="E15" s="9">
        <v>0</v>
      </c>
      <c r="F15" s="9">
        <v>0</v>
      </c>
      <c r="G15" s="49">
        <v>0</v>
      </c>
      <c r="H15" s="9">
        <v>0</v>
      </c>
      <c r="I15" s="9">
        <v>0</v>
      </c>
    </row>
    <row r="16" spans="1:9" x14ac:dyDescent="0.25">
      <c r="A16" t="s">
        <v>464</v>
      </c>
      <c r="B16">
        <v>31400</v>
      </c>
      <c r="C16" s="9">
        <f>Administration!C5</f>
        <v>2600</v>
      </c>
      <c r="D16" s="9">
        <v>845</v>
      </c>
      <c r="E16" s="34">
        <v>2800</v>
      </c>
      <c r="F16" s="9">
        <v>2440</v>
      </c>
      <c r="G16" s="49">
        <v>1800</v>
      </c>
      <c r="H16" s="9">
        <v>40</v>
      </c>
      <c r="I16" s="9">
        <v>1800</v>
      </c>
    </row>
    <row r="17" spans="1:11" x14ac:dyDescent="0.25">
      <c r="A17" t="s">
        <v>660</v>
      </c>
      <c r="B17">
        <v>31500</v>
      </c>
      <c r="C17" s="9">
        <f>Administration!C6</f>
        <v>300</v>
      </c>
      <c r="D17" s="9">
        <v>0</v>
      </c>
      <c r="E17" s="34">
        <v>300</v>
      </c>
      <c r="F17" s="9">
        <v>300</v>
      </c>
      <c r="G17" s="49">
        <v>300</v>
      </c>
      <c r="H17" s="9">
        <v>0</v>
      </c>
      <c r="I17" s="9">
        <v>600</v>
      </c>
    </row>
    <row r="18" spans="1:11" x14ac:dyDescent="0.25">
      <c r="A18" t="s">
        <v>465</v>
      </c>
      <c r="B18">
        <v>31600</v>
      </c>
      <c r="C18" s="9">
        <f>Administration!C7</f>
        <v>2000</v>
      </c>
      <c r="D18" s="9">
        <v>1340</v>
      </c>
      <c r="E18" s="34">
        <v>2000</v>
      </c>
      <c r="F18" s="9">
        <v>2280</v>
      </c>
      <c r="G18" s="49">
        <v>1200</v>
      </c>
      <c r="H18" s="9">
        <v>1400</v>
      </c>
      <c r="I18" s="9">
        <v>1000</v>
      </c>
    </row>
    <row r="19" spans="1:11" x14ac:dyDescent="0.25">
      <c r="A19" t="s">
        <v>466</v>
      </c>
      <c r="B19">
        <v>31700</v>
      </c>
      <c r="C19" s="9">
        <v>200</v>
      </c>
      <c r="D19" s="9">
        <v>0</v>
      </c>
      <c r="E19" s="34">
        <v>0</v>
      </c>
      <c r="F19" s="9">
        <v>200</v>
      </c>
      <c r="G19" s="49">
        <v>0</v>
      </c>
      <c r="H19" s="9">
        <v>0</v>
      </c>
      <c r="I19" s="9">
        <v>0</v>
      </c>
    </row>
    <row r="20" spans="1:11" x14ac:dyDescent="0.25">
      <c r="A20" t="s">
        <v>467</v>
      </c>
      <c r="B20">
        <v>31800</v>
      </c>
      <c r="C20" s="9">
        <f>Police!C8</f>
        <v>1200</v>
      </c>
      <c r="D20" s="9">
        <v>1304</v>
      </c>
      <c r="E20" s="34">
        <v>1200</v>
      </c>
      <c r="F20" s="9">
        <v>2032</v>
      </c>
      <c r="G20" s="49">
        <v>1000</v>
      </c>
      <c r="H20" s="9">
        <v>886</v>
      </c>
      <c r="I20" s="9">
        <v>1000</v>
      </c>
    </row>
    <row r="21" spans="1:11" x14ac:dyDescent="0.25">
      <c r="A21" t="s">
        <v>469</v>
      </c>
      <c r="B21">
        <v>32300</v>
      </c>
      <c r="C21" s="9">
        <v>0</v>
      </c>
      <c r="D21" s="9">
        <v>0</v>
      </c>
      <c r="E21" s="34">
        <v>13000</v>
      </c>
      <c r="F21" s="9">
        <v>201815.51</v>
      </c>
      <c r="G21" s="49">
        <v>13000</v>
      </c>
      <c r="H21" s="9">
        <v>6743</v>
      </c>
      <c r="I21" s="9">
        <v>13000</v>
      </c>
    </row>
    <row r="22" spans="1:11" x14ac:dyDescent="0.25">
      <c r="A22" t="s">
        <v>470</v>
      </c>
      <c r="B22">
        <v>32500</v>
      </c>
      <c r="C22" s="9">
        <v>18000</v>
      </c>
      <c r="D22" s="9">
        <v>14176.56</v>
      </c>
      <c r="E22" s="34">
        <v>18000</v>
      </c>
      <c r="F22" s="9">
        <v>18319.07</v>
      </c>
      <c r="G22" s="49">
        <v>15000</v>
      </c>
      <c r="H22" s="9">
        <v>0</v>
      </c>
      <c r="I22" s="9">
        <v>15000</v>
      </c>
    </row>
    <row r="23" spans="1:11" x14ac:dyDescent="0.25">
      <c r="A23" s="24" t="s">
        <v>746</v>
      </c>
      <c r="B23">
        <v>32700</v>
      </c>
      <c r="C23" s="9">
        <v>3625</v>
      </c>
      <c r="D23" s="9">
        <v>3164.55</v>
      </c>
      <c r="E23" s="34">
        <f>Police!E9+Fire!E7</f>
        <v>3625</v>
      </c>
      <c r="F23" s="9">
        <v>5662.79</v>
      </c>
      <c r="G23" s="49">
        <v>2000</v>
      </c>
      <c r="H23" s="9">
        <v>900</v>
      </c>
      <c r="I23" s="9">
        <v>2000</v>
      </c>
    </row>
    <row r="24" spans="1:11" x14ac:dyDescent="0.25">
      <c r="A24" t="s">
        <v>661</v>
      </c>
      <c r="B24">
        <v>32900</v>
      </c>
      <c r="C24" s="9">
        <v>0</v>
      </c>
      <c r="D24" s="9">
        <v>0</v>
      </c>
      <c r="E24" s="34">
        <v>0</v>
      </c>
      <c r="F24" s="9">
        <v>2000</v>
      </c>
      <c r="G24" s="49">
        <v>0</v>
      </c>
      <c r="H24" s="9">
        <v>562</v>
      </c>
      <c r="I24" s="9">
        <v>0</v>
      </c>
    </row>
    <row r="25" spans="1:11" x14ac:dyDescent="0.25">
      <c r="A25" t="s">
        <v>474</v>
      </c>
      <c r="B25">
        <v>33100</v>
      </c>
      <c r="C25" s="9">
        <v>62000</v>
      </c>
      <c r="D25" s="9">
        <v>35217.949999999997</v>
      </c>
      <c r="E25" s="35">
        <f>'SWIM Center'!F11+Parks!F5</f>
        <v>72500</v>
      </c>
      <c r="F25" s="9">
        <v>70709.98</v>
      </c>
      <c r="G25" s="49">
        <f>'SWIM Center'!H11</f>
        <v>67000</v>
      </c>
      <c r="H25" s="9">
        <f>1115.29+21859+11706.51+17773.59+16516.53</f>
        <v>68970.92</v>
      </c>
      <c r="I25" s="9" t="e">
        <f>'SWIM Center'!#REF!</f>
        <v>#REF!</v>
      </c>
    </row>
    <row r="26" spans="1:11" x14ac:dyDescent="0.25">
      <c r="A26" s="10" t="s">
        <v>554</v>
      </c>
      <c r="B26">
        <v>33200</v>
      </c>
      <c r="C26" s="9">
        <v>4050</v>
      </c>
      <c r="D26" s="9">
        <v>2659.96</v>
      </c>
      <c r="E26" s="34">
        <v>4500</v>
      </c>
      <c r="F26" s="9">
        <v>3490</v>
      </c>
      <c r="G26" s="49">
        <v>4500</v>
      </c>
      <c r="H26" s="9">
        <v>4850.7700000000004</v>
      </c>
      <c r="I26" s="9">
        <v>4500</v>
      </c>
    </row>
    <row r="27" spans="1:11" x14ac:dyDescent="0.25">
      <c r="A27" s="24" t="s">
        <v>1398</v>
      </c>
      <c r="B27">
        <v>33201</v>
      </c>
      <c r="C27" s="9">
        <v>2000</v>
      </c>
      <c r="D27" s="9">
        <v>5048.38</v>
      </c>
      <c r="E27" s="34">
        <v>8500</v>
      </c>
      <c r="F27" s="9">
        <v>2268.08</v>
      </c>
      <c r="G27" s="49">
        <v>6200</v>
      </c>
      <c r="H27" s="9">
        <v>434.09</v>
      </c>
      <c r="I27" s="9">
        <v>1200</v>
      </c>
      <c r="K27" s="19"/>
    </row>
    <row r="28" spans="1:11" x14ac:dyDescent="0.25">
      <c r="A28" t="s">
        <v>471</v>
      </c>
      <c r="B28">
        <v>33300</v>
      </c>
      <c r="C28" s="9">
        <v>25000</v>
      </c>
      <c r="D28" s="9">
        <v>20065.23</v>
      </c>
      <c r="E28" s="34">
        <v>25000</v>
      </c>
      <c r="F28" s="9">
        <v>24027.98</v>
      </c>
      <c r="G28" s="49">
        <v>22000</v>
      </c>
      <c r="H28" s="9">
        <v>15000.59</v>
      </c>
      <c r="I28" s="9">
        <v>22000</v>
      </c>
    </row>
    <row r="29" spans="1:11" x14ac:dyDescent="0.25">
      <c r="A29" t="s">
        <v>472</v>
      </c>
      <c r="B29">
        <v>34100</v>
      </c>
      <c r="C29" s="9">
        <v>6000</v>
      </c>
      <c r="D29" s="9">
        <v>4476.4399999999996</v>
      </c>
      <c r="E29" s="9">
        <v>6000</v>
      </c>
      <c r="F29" s="9">
        <v>5736.08</v>
      </c>
      <c r="G29" s="49">
        <v>6000</v>
      </c>
      <c r="H29" s="9">
        <v>3545.65</v>
      </c>
      <c r="I29" s="9">
        <v>6000</v>
      </c>
      <c r="K29" s="19"/>
    </row>
    <row r="30" spans="1:11" x14ac:dyDescent="0.25">
      <c r="A30" s="24" t="s">
        <v>884</v>
      </c>
      <c r="B30">
        <v>34303</v>
      </c>
      <c r="C30" s="9">
        <v>0</v>
      </c>
      <c r="D30" s="9">
        <v>41787.15</v>
      </c>
      <c r="E30" s="9">
        <v>0</v>
      </c>
      <c r="F30" s="9">
        <v>0</v>
      </c>
      <c r="G30" s="49">
        <v>0</v>
      </c>
      <c r="H30" s="9">
        <v>31380.07</v>
      </c>
      <c r="I30" s="9">
        <v>0</v>
      </c>
    </row>
    <row r="31" spans="1:11" x14ac:dyDescent="0.25">
      <c r="A31" t="s">
        <v>24</v>
      </c>
      <c r="B31">
        <v>35500</v>
      </c>
      <c r="C31" s="9">
        <v>250</v>
      </c>
      <c r="D31" s="9">
        <v>80.599999999999994</v>
      </c>
      <c r="E31" s="9">
        <v>250</v>
      </c>
      <c r="F31" s="9">
        <v>133.15</v>
      </c>
      <c r="G31" s="49">
        <v>250</v>
      </c>
      <c r="H31" s="9">
        <v>87.78</v>
      </c>
      <c r="I31" s="9">
        <v>500</v>
      </c>
    </row>
    <row r="32" spans="1:11" x14ac:dyDescent="0.25">
      <c r="A32" t="s">
        <v>25</v>
      </c>
      <c r="B32">
        <v>36100</v>
      </c>
      <c r="C32" s="9">
        <v>8000</v>
      </c>
      <c r="D32" s="9">
        <v>1650.42</v>
      </c>
      <c r="E32" s="9">
        <v>8000</v>
      </c>
      <c r="F32" s="9">
        <v>6275.8</v>
      </c>
      <c r="G32" s="49">
        <v>1500</v>
      </c>
      <c r="H32" s="9">
        <v>603.80999999999995</v>
      </c>
      <c r="I32" s="9">
        <v>1500</v>
      </c>
    </row>
    <row r="33" spans="1:9" x14ac:dyDescent="0.25">
      <c r="A33" t="s">
        <v>1062</v>
      </c>
      <c r="B33">
        <v>36200</v>
      </c>
      <c r="C33" s="9">
        <v>5400</v>
      </c>
      <c r="D33" s="9">
        <v>4500</v>
      </c>
      <c r="E33" s="9">
        <v>7000</v>
      </c>
      <c r="F33" s="9">
        <v>7306.65</v>
      </c>
      <c r="G33" s="49">
        <v>7000</v>
      </c>
      <c r="H33" s="9">
        <v>6885.6</v>
      </c>
      <c r="I33" s="9">
        <v>10000</v>
      </c>
    </row>
    <row r="34" spans="1:9" x14ac:dyDescent="0.25">
      <c r="A34" t="s">
        <v>26</v>
      </c>
      <c r="B34">
        <v>36400</v>
      </c>
      <c r="C34" s="9">
        <v>10500</v>
      </c>
      <c r="D34" s="9">
        <v>8269.08</v>
      </c>
      <c r="E34" s="9">
        <v>10500</v>
      </c>
      <c r="F34" s="9">
        <v>11178.4</v>
      </c>
      <c r="G34" s="49">
        <v>5500</v>
      </c>
      <c r="H34" s="9">
        <v>14776.19</v>
      </c>
      <c r="I34" s="9">
        <v>5000</v>
      </c>
    </row>
    <row r="35" spans="1:9" x14ac:dyDescent="0.25">
      <c r="A35" s="24" t="s">
        <v>1366</v>
      </c>
      <c r="B35">
        <v>36500</v>
      </c>
      <c r="C35" s="9">
        <v>12500</v>
      </c>
      <c r="D35" s="9">
        <v>11138.22</v>
      </c>
      <c r="E35" s="9">
        <v>5500</v>
      </c>
      <c r="F35" s="9">
        <v>16358.54</v>
      </c>
      <c r="G35" s="49">
        <f>Police!G11+Fire!G10+'SWIM Center'!H9</f>
        <v>5500</v>
      </c>
      <c r="H35" s="9">
        <v>6472</v>
      </c>
      <c r="I35" s="9">
        <v>5000</v>
      </c>
    </row>
    <row r="36" spans="1:9" x14ac:dyDescent="0.25">
      <c r="A36" s="24" t="s">
        <v>1367</v>
      </c>
      <c r="B36">
        <v>36502</v>
      </c>
      <c r="C36" s="9"/>
      <c r="D36" s="9"/>
      <c r="E36" s="9"/>
      <c r="F36" s="9"/>
      <c r="G36" s="49"/>
      <c r="H36" s="9"/>
      <c r="I36" s="9"/>
    </row>
    <row r="37" spans="1:9" x14ac:dyDescent="0.25">
      <c r="A37" t="s">
        <v>734</v>
      </c>
      <c r="B37">
        <v>36503</v>
      </c>
      <c r="C37" s="9">
        <v>13000</v>
      </c>
      <c r="D37" s="9">
        <v>0</v>
      </c>
      <c r="E37" s="9">
        <v>13000</v>
      </c>
      <c r="F37" s="9">
        <v>35183</v>
      </c>
      <c r="G37" s="49">
        <v>13000</v>
      </c>
      <c r="H37" s="9">
        <v>0</v>
      </c>
      <c r="I37" s="9">
        <v>13000</v>
      </c>
    </row>
    <row r="38" spans="1:9" x14ac:dyDescent="0.25">
      <c r="A38" t="s">
        <v>836</v>
      </c>
      <c r="B38">
        <v>36506</v>
      </c>
      <c r="C38" s="9">
        <v>7000</v>
      </c>
      <c r="D38" s="9">
        <v>0</v>
      </c>
      <c r="E38" s="9">
        <v>7000</v>
      </c>
      <c r="F38" s="9">
        <v>0</v>
      </c>
      <c r="G38" s="49">
        <v>7000</v>
      </c>
      <c r="H38" s="9">
        <v>0</v>
      </c>
      <c r="I38" s="9">
        <v>5000</v>
      </c>
    </row>
    <row r="39" spans="1:9" x14ac:dyDescent="0.25">
      <c r="A39" t="s">
        <v>849</v>
      </c>
      <c r="B39">
        <v>36600</v>
      </c>
      <c r="C39" s="9">
        <v>0</v>
      </c>
      <c r="D39" s="9">
        <v>0</v>
      </c>
      <c r="E39" s="9">
        <v>0</v>
      </c>
      <c r="F39" s="9">
        <v>6201.37</v>
      </c>
      <c r="G39" s="49">
        <v>0</v>
      </c>
      <c r="H39" s="9">
        <v>0</v>
      </c>
      <c r="I39" s="9">
        <v>0</v>
      </c>
    </row>
    <row r="40" spans="1:9" x14ac:dyDescent="0.25">
      <c r="A40" t="s">
        <v>28</v>
      </c>
      <c r="B40">
        <v>36800</v>
      </c>
      <c r="C40" s="9">
        <v>500</v>
      </c>
      <c r="D40" s="9">
        <v>169.8</v>
      </c>
      <c r="E40" s="9">
        <v>500</v>
      </c>
      <c r="F40" s="9">
        <v>145</v>
      </c>
      <c r="G40" s="49">
        <v>500</v>
      </c>
      <c r="H40" s="9">
        <v>160</v>
      </c>
      <c r="I40" s="9">
        <v>500</v>
      </c>
    </row>
    <row r="41" spans="1:9" x14ac:dyDescent="0.25">
      <c r="A41" t="s">
        <v>138</v>
      </c>
      <c r="B41">
        <v>37300</v>
      </c>
      <c r="C41" s="9">
        <v>6000</v>
      </c>
      <c r="D41" s="9">
        <v>7986.82</v>
      </c>
      <c r="E41" s="9">
        <v>6000</v>
      </c>
      <c r="F41" s="9">
        <v>7760.88</v>
      </c>
      <c r="G41" s="9">
        <v>6000</v>
      </c>
      <c r="H41" s="9">
        <v>5148.71</v>
      </c>
      <c r="I41" s="9">
        <v>6000</v>
      </c>
    </row>
    <row r="42" spans="1:9" x14ac:dyDescent="0.25">
      <c r="A42" s="24" t="s">
        <v>1250</v>
      </c>
      <c r="B42">
        <v>39000</v>
      </c>
      <c r="C42" s="9">
        <v>20000</v>
      </c>
      <c r="D42" s="9">
        <v>0</v>
      </c>
      <c r="E42" s="9">
        <v>0</v>
      </c>
      <c r="F42" s="9">
        <v>56628</v>
      </c>
      <c r="G42" s="9">
        <v>0</v>
      </c>
      <c r="H42" s="9">
        <v>0</v>
      </c>
      <c r="I42" s="9">
        <v>0</v>
      </c>
    </row>
    <row r="43" spans="1:9" x14ac:dyDescent="0.25">
      <c r="B43" s="91" t="s">
        <v>740</v>
      </c>
      <c r="C43" s="96">
        <f>SUM(C12:C42)</f>
        <v>227615</v>
      </c>
      <c r="D43" s="96">
        <f>SUM(D12:D42)</f>
        <v>182476.40000000002</v>
      </c>
      <c r="E43" s="96">
        <f t="shared" ref="E43:I43" si="3">SUM(E12:E42)</f>
        <v>216465</v>
      </c>
      <c r="F43" s="96">
        <f t="shared" si="3"/>
        <v>489893.01000000007</v>
      </c>
      <c r="G43" s="96">
        <f t="shared" si="3"/>
        <v>200040</v>
      </c>
      <c r="H43" s="96">
        <f t="shared" si="3"/>
        <v>169492.18</v>
      </c>
      <c r="I43" s="96" t="e">
        <f t="shared" si="3"/>
        <v>#REF!</v>
      </c>
    </row>
    <row r="44" spans="1:9" x14ac:dyDescent="0.25">
      <c r="C44" s="9"/>
      <c r="D44" s="16"/>
      <c r="E44" s="9"/>
      <c r="F44" s="9"/>
      <c r="G44" s="9"/>
      <c r="I44" s="9"/>
    </row>
    <row r="45" spans="1:9" x14ac:dyDescent="0.25">
      <c r="C45" s="9"/>
      <c r="D45" s="16"/>
      <c r="E45" s="9"/>
      <c r="F45" s="9"/>
      <c r="G45" s="9"/>
      <c r="I45" s="9"/>
    </row>
    <row r="46" spans="1:9" x14ac:dyDescent="0.25">
      <c r="C46" s="9"/>
      <c r="D46" s="16"/>
      <c r="E46" s="9"/>
      <c r="F46" s="9"/>
      <c r="G46" s="9"/>
      <c r="I46" s="9"/>
    </row>
    <row r="47" spans="1:9" x14ac:dyDescent="0.25">
      <c r="A47" s="24" t="s">
        <v>708</v>
      </c>
      <c r="B47">
        <v>39000</v>
      </c>
      <c r="C47" s="9">
        <v>522900</v>
      </c>
      <c r="D47" s="9">
        <v>459500</v>
      </c>
      <c r="E47" s="9">
        <v>459500</v>
      </c>
      <c r="F47" s="9">
        <v>531700</v>
      </c>
      <c r="G47" s="9">
        <v>531700</v>
      </c>
      <c r="H47" s="9">
        <v>224060</v>
      </c>
      <c r="I47" s="9">
        <v>224060</v>
      </c>
    </row>
    <row r="48" spans="1:9" x14ac:dyDescent="0.25">
      <c r="A48" s="24" t="s">
        <v>709</v>
      </c>
      <c r="B48">
        <v>39000</v>
      </c>
      <c r="C48" s="9">
        <v>70000</v>
      </c>
      <c r="D48" s="9">
        <v>0</v>
      </c>
      <c r="E48" s="9">
        <v>50000</v>
      </c>
      <c r="F48" s="9">
        <v>45000</v>
      </c>
      <c r="G48" s="9">
        <v>45000</v>
      </c>
      <c r="H48" s="9">
        <v>45000</v>
      </c>
      <c r="I48" s="9">
        <v>45000</v>
      </c>
    </row>
    <row r="49" spans="1:9" x14ac:dyDescent="0.25">
      <c r="A49" s="24"/>
      <c r="B49" s="91" t="s">
        <v>740</v>
      </c>
      <c r="C49" s="96">
        <f>SUM(C47:C48)</f>
        <v>592900</v>
      </c>
      <c r="D49" s="96">
        <f>SUM(D47:D48)</f>
        <v>459500</v>
      </c>
      <c r="E49" s="96">
        <f>SUM(E47:E48)</f>
        <v>509500</v>
      </c>
      <c r="F49" s="96">
        <f>SUM(F47:F48)</f>
        <v>576700</v>
      </c>
      <c r="G49" s="96">
        <f t="shared" ref="G49:I49" si="4">SUM(G47:G48)</f>
        <v>576700</v>
      </c>
      <c r="H49" s="96">
        <f t="shared" si="4"/>
        <v>269060</v>
      </c>
      <c r="I49" s="96">
        <f t="shared" si="4"/>
        <v>269060</v>
      </c>
    </row>
    <row r="50" spans="1:9" x14ac:dyDescent="0.25">
      <c r="A50" s="24"/>
      <c r="D50" s="16"/>
    </row>
    <row r="52" spans="1:9" x14ac:dyDescent="0.25">
      <c r="A52" s="10"/>
    </row>
  </sheetData>
  <phoneticPr fontId="2" type="noConversion"/>
  <pageMargins left="0.25" right="0.25" top="0.75" bottom="0.75" header="0.3" footer="0.3"/>
  <pageSetup orientation="landscape" r:id="rId1"/>
  <headerFooter scaleWithDoc="0"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7"/>
  <sheetViews>
    <sheetView workbookViewId="0">
      <selection activeCell="I19" sqref="I19"/>
    </sheetView>
  </sheetViews>
  <sheetFormatPr defaultRowHeight="13.2" x14ac:dyDescent="0.25"/>
  <cols>
    <col min="1" max="1" width="16.33203125" customWidth="1"/>
    <col min="2" max="2" width="24.109375" customWidth="1"/>
    <col min="3" max="9" width="11.6640625" customWidth="1"/>
  </cols>
  <sheetData>
    <row r="1" spans="1:9" ht="15.6" x14ac:dyDescent="0.3">
      <c r="B1" s="11" t="s">
        <v>742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  <c r="I1" s="36">
        <v>2018</v>
      </c>
    </row>
    <row r="2" spans="1:9" ht="15.6" x14ac:dyDescent="0.3">
      <c r="B2" s="11" t="s">
        <v>796</v>
      </c>
      <c r="C2" s="1" t="s">
        <v>501</v>
      </c>
      <c r="D2" s="1" t="s">
        <v>1179</v>
      </c>
      <c r="E2" s="36" t="s">
        <v>501</v>
      </c>
      <c r="F2" s="36" t="s">
        <v>794</v>
      </c>
      <c r="G2" s="36" t="s">
        <v>501</v>
      </c>
      <c r="H2" s="36" t="s">
        <v>794</v>
      </c>
      <c r="I2" s="36" t="s">
        <v>501</v>
      </c>
    </row>
    <row r="3" spans="1:9" x14ac:dyDescent="0.25"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t="s">
        <v>77</v>
      </c>
    </row>
    <row r="5" spans="1:9" x14ac:dyDescent="0.25">
      <c r="A5" s="24" t="s">
        <v>743</v>
      </c>
      <c r="B5" s="24" t="s">
        <v>575</v>
      </c>
      <c r="C5" s="49">
        <v>75000</v>
      </c>
      <c r="D5" s="49">
        <v>75000</v>
      </c>
      <c r="E5" s="49">
        <v>75000</v>
      </c>
      <c r="F5" s="49">
        <v>58500</v>
      </c>
      <c r="G5" s="49">
        <v>58500</v>
      </c>
      <c r="H5" s="49">
        <v>53500</v>
      </c>
      <c r="I5" s="49">
        <v>53500</v>
      </c>
    </row>
    <row r="6" spans="1:9" x14ac:dyDescent="0.25">
      <c r="A6" s="24"/>
      <c r="C6" s="9"/>
      <c r="D6" s="9"/>
      <c r="E6" s="9"/>
      <c r="F6" s="9"/>
      <c r="G6" s="9"/>
      <c r="H6" s="9"/>
      <c r="I6" s="9"/>
    </row>
    <row r="7" spans="1:9" x14ac:dyDescent="0.25">
      <c r="B7" t="s">
        <v>740</v>
      </c>
      <c r="C7" s="9">
        <v>75000</v>
      </c>
      <c r="D7" s="9">
        <v>75000</v>
      </c>
      <c r="E7" s="9">
        <f>E5</f>
        <v>75000</v>
      </c>
      <c r="F7" s="9">
        <v>58500</v>
      </c>
      <c r="G7" s="9">
        <f>G5</f>
        <v>58500</v>
      </c>
      <c r="H7" s="9">
        <v>53500</v>
      </c>
      <c r="I7" s="9">
        <f>I5</f>
        <v>53500</v>
      </c>
    </row>
    <row r="8" spans="1:9" x14ac:dyDescent="0.25">
      <c r="C8" s="9"/>
      <c r="D8" s="9"/>
      <c r="E8" s="9"/>
      <c r="F8" s="9"/>
      <c r="G8" s="9"/>
      <c r="H8" s="9"/>
      <c r="I8" s="9"/>
    </row>
    <row r="10" spans="1:9" x14ac:dyDescent="0.25">
      <c r="A10">
        <v>2017</v>
      </c>
      <c r="B10" s="9">
        <v>42000</v>
      </c>
    </row>
    <row r="11" spans="1:9" x14ac:dyDescent="0.25">
      <c r="A11" s="158">
        <v>2018</v>
      </c>
      <c r="B11" s="49">
        <v>53500</v>
      </c>
    </row>
    <row r="12" spans="1:9" x14ac:dyDescent="0.25">
      <c r="A12" s="159">
        <v>2019</v>
      </c>
      <c r="B12" s="49">
        <v>58500</v>
      </c>
    </row>
    <row r="13" spans="1:9" x14ac:dyDescent="0.25">
      <c r="A13" s="158">
        <v>2020</v>
      </c>
      <c r="B13" s="49">
        <v>75000</v>
      </c>
      <c r="C13" s="25"/>
      <c r="D13" s="25"/>
      <c r="E13" s="25"/>
      <c r="F13" s="25"/>
      <c r="G13" s="25"/>
      <c r="H13" s="25"/>
    </row>
    <row r="14" spans="1:9" x14ac:dyDescent="0.25">
      <c r="A14" s="158">
        <v>2021</v>
      </c>
      <c r="B14" s="49">
        <v>75000</v>
      </c>
    </row>
    <row r="15" spans="1:9" x14ac:dyDescent="0.25">
      <c r="B15" s="49"/>
    </row>
    <row r="16" spans="1:9" x14ac:dyDescent="0.25">
      <c r="B16" s="49"/>
    </row>
    <row r="17" spans="2:2" x14ac:dyDescent="0.25">
      <c r="B17" s="49"/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2"/>
  <sheetViews>
    <sheetView topLeftCell="A10" workbookViewId="0">
      <selection activeCell="L24" sqref="L24"/>
    </sheetView>
  </sheetViews>
  <sheetFormatPr defaultRowHeight="13.2" x14ac:dyDescent="0.25"/>
  <cols>
    <col min="1" max="1" width="18.33203125" customWidth="1"/>
    <col min="2" max="2" width="28.88671875" bestFit="1" customWidth="1"/>
    <col min="3" max="8" width="11.6640625" customWidth="1"/>
  </cols>
  <sheetData>
    <row r="1" spans="1:8" ht="15.6" x14ac:dyDescent="0.3">
      <c r="B1" s="11" t="s">
        <v>987</v>
      </c>
      <c r="C1" s="11"/>
      <c r="D1" s="11"/>
      <c r="E1" s="11"/>
      <c r="F1" s="11"/>
      <c r="G1" s="11"/>
      <c r="H1" s="11"/>
    </row>
    <row r="2" spans="1:8" ht="15.6" x14ac:dyDescent="0.3">
      <c r="B2" s="11"/>
      <c r="C2" s="11"/>
      <c r="D2" s="11"/>
      <c r="E2" s="11"/>
      <c r="F2" s="11"/>
      <c r="G2" s="11"/>
      <c r="H2" s="11"/>
    </row>
    <row r="3" spans="1:8" ht="15.6" x14ac:dyDescent="0.3">
      <c r="B3" s="11"/>
      <c r="C3" s="11"/>
      <c r="D3" s="11"/>
      <c r="E3" s="11"/>
      <c r="F3" s="11"/>
      <c r="G3" s="11"/>
      <c r="H3" s="11"/>
    </row>
    <row r="4" spans="1:8" x14ac:dyDescent="0.25">
      <c r="C4" s="1">
        <v>2021</v>
      </c>
      <c r="D4" s="1">
        <v>2020</v>
      </c>
      <c r="E4" s="36">
        <v>2020</v>
      </c>
      <c r="F4" s="36">
        <v>2019</v>
      </c>
      <c r="G4" s="36">
        <v>2019</v>
      </c>
      <c r="H4" s="36">
        <v>2018</v>
      </c>
    </row>
    <row r="5" spans="1:8" x14ac:dyDescent="0.25">
      <c r="C5" s="1" t="s">
        <v>501</v>
      </c>
      <c r="D5" s="1" t="s">
        <v>1179</v>
      </c>
      <c r="E5" s="36" t="s">
        <v>501</v>
      </c>
      <c r="F5" s="36" t="s">
        <v>794</v>
      </c>
      <c r="G5" s="36" t="s">
        <v>501</v>
      </c>
      <c r="H5" s="36" t="s">
        <v>794</v>
      </c>
    </row>
    <row r="6" spans="1:8" x14ac:dyDescent="0.25">
      <c r="A6" s="24" t="s">
        <v>76</v>
      </c>
    </row>
    <row r="7" spans="1:8" x14ac:dyDescent="0.25">
      <c r="A7" s="24" t="s">
        <v>1000</v>
      </c>
      <c r="B7" s="24" t="s">
        <v>43</v>
      </c>
      <c r="C7" s="49">
        <v>1725.33</v>
      </c>
      <c r="D7" s="49">
        <v>1947.52</v>
      </c>
      <c r="E7" s="49">
        <v>4300</v>
      </c>
      <c r="F7" s="49">
        <v>6366.22</v>
      </c>
      <c r="G7" s="49">
        <v>7000</v>
      </c>
      <c r="H7" s="49">
        <v>9213.18</v>
      </c>
    </row>
    <row r="8" spans="1:8" x14ac:dyDescent="0.25">
      <c r="C8" s="9"/>
      <c r="D8" s="9"/>
      <c r="E8" s="9"/>
      <c r="F8" s="9"/>
      <c r="G8" s="9"/>
      <c r="H8" s="9"/>
    </row>
    <row r="9" spans="1:8" x14ac:dyDescent="0.25">
      <c r="B9" s="54" t="s">
        <v>57</v>
      </c>
      <c r="C9" s="78"/>
      <c r="D9" s="78"/>
      <c r="E9" s="78"/>
      <c r="F9" s="78">
        <v>0</v>
      </c>
      <c r="G9" s="78">
        <v>0</v>
      </c>
      <c r="H9" s="78">
        <f>SUM(H7)</f>
        <v>9213.18</v>
      </c>
    </row>
    <row r="10" spans="1:8" x14ac:dyDescent="0.25">
      <c r="A10" t="s">
        <v>77</v>
      </c>
      <c r="C10" s="9"/>
      <c r="D10" s="9"/>
      <c r="E10" s="9"/>
      <c r="F10" s="9"/>
      <c r="G10" s="9"/>
      <c r="H10" s="9"/>
    </row>
    <row r="11" spans="1:8" x14ac:dyDescent="0.25">
      <c r="A11" t="s">
        <v>1001</v>
      </c>
      <c r="B11" t="s">
        <v>741</v>
      </c>
      <c r="C11" s="9">
        <v>1725.33</v>
      </c>
      <c r="D11" s="9">
        <v>1947.52</v>
      </c>
      <c r="E11" s="9">
        <v>4300</v>
      </c>
      <c r="F11" s="9">
        <v>6366.22</v>
      </c>
      <c r="G11" s="9">
        <v>7000</v>
      </c>
      <c r="H11" s="9">
        <v>9213.18</v>
      </c>
    </row>
    <row r="12" spans="1:8" x14ac:dyDescent="0.25">
      <c r="A12" s="24"/>
    </row>
    <row r="14" spans="1:8" x14ac:dyDescent="0.25">
      <c r="A14" s="24" t="s">
        <v>988</v>
      </c>
    </row>
    <row r="15" spans="1:8" x14ac:dyDescent="0.25">
      <c r="A15" s="24" t="s">
        <v>989</v>
      </c>
    </row>
    <row r="16" spans="1:8" x14ac:dyDescent="0.25">
      <c r="A16" s="24"/>
    </row>
    <row r="17" spans="1:7" x14ac:dyDescent="0.25">
      <c r="A17" s="115" t="s">
        <v>990</v>
      </c>
    </row>
    <row r="18" spans="1:7" x14ac:dyDescent="0.25">
      <c r="A18" s="24" t="s">
        <v>1063</v>
      </c>
      <c r="B18" t="s">
        <v>1068</v>
      </c>
      <c r="G18" s="24" t="s">
        <v>1146</v>
      </c>
    </row>
    <row r="19" spans="1:7" x14ac:dyDescent="0.25">
      <c r="A19" s="24" t="s">
        <v>1064</v>
      </c>
      <c r="B19" t="s">
        <v>1107</v>
      </c>
      <c r="G19" t="s">
        <v>1108</v>
      </c>
    </row>
    <row r="20" spans="1:7" x14ac:dyDescent="0.25">
      <c r="A20" s="24" t="s">
        <v>1065</v>
      </c>
      <c r="B20" s="24" t="s">
        <v>1304</v>
      </c>
      <c r="G20" t="s">
        <v>1268</v>
      </c>
    </row>
    <row r="21" spans="1:7" x14ac:dyDescent="0.25">
      <c r="A21" s="24" t="s">
        <v>1066</v>
      </c>
      <c r="B21" s="24" t="s">
        <v>1305</v>
      </c>
      <c r="G21" s="24" t="s">
        <v>1306</v>
      </c>
    </row>
    <row r="22" spans="1:7" x14ac:dyDescent="0.25">
      <c r="A22" s="24" t="s">
        <v>1067</v>
      </c>
      <c r="B22" s="24" t="s">
        <v>1307</v>
      </c>
      <c r="G22" s="24" t="s">
        <v>1308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3"/>
  <sheetViews>
    <sheetView workbookViewId="0">
      <selection activeCell="J27" sqref="J27"/>
    </sheetView>
  </sheetViews>
  <sheetFormatPr defaultRowHeight="13.2" x14ac:dyDescent="0.25"/>
  <cols>
    <col min="1" max="1" width="28.5546875" bestFit="1" customWidth="1"/>
    <col min="2" max="2" width="34.5546875" bestFit="1" customWidth="1"/>
    <col min="3" max="3" width="9.6640625" bestFit="1" customWidth="1"/>
  </cols>
  <sheetData>
    <row r="1" spans="1:10" ht="15.6" x14ac:dyDescent="0.3">
      <c r="B1" s="11" t="s">
        <v>817</v>
      </c>
      <c r="C1" s="1"/>
      <c r="D1" s="36"/>
      <c r="E1" s="36"/>
      <c r="F1" s="36"/>
      <c r="G1" s="36"/>
      <c r="H1" s="36"/>
      <c r="I1" s="14"/>
      <c r="J1" s="36"/>
    </row>
    <row r="2" spans="1:10" x14ac:dyDescent="0.25">
      <c r="C2" s="1"/>
      <c r="D2" s="36"/>
      <c r="E2" s="36"/>
      <c r="F2" s="36"/>
      <c r="G2" s="48"/>
      <c r="H2" s="36"/>
      <c r="I2" s="36"/>
      <c r="J2" s="36"/>
    </row>
    <row r="3" spans="1:10" x14ac:dyDescent="0.25">
      <c r="B3" s="26"/>
      <c r="C3" s="26"/>
      <c r="D3" s="26"/>
      <c r="E3" s="9"/>
      <c r="F3" s="27"/>
      <c r="G3" s="27"/>
      <c r="H3" s="27"/>
      <c r="I3" s="27"/>
      <c r="J3" s="28"/>
    </row>
    <row r="4" spans="1:10" x14ac:dyDescent="0.25">
      <c r="A4" s="24" t="s">
        <v>1269</v>
      </c>
      <c r="B4" s="49">
        <v>9051.4</v>
      </c>
      <c r="C4" s="9"/>
      <c r="E4" s="9"/>
      <c r="F4" s="14"/>
      <c r="G4" s="14"/>
      <c r="H4" s="14"/>
      <c r="I4" s="14"/>
      <c r="J4" s="1"/>
    </row>
    <row r="5" spans="1:10" x14ac:dyDescent="0.25">
      <c r="A5" s="24" t="s">
        <v>820</v>
      </c>
      <c r="B5" s="13">
        <v>62.44</v>
      </c>
      <c r="C5" s="49" t="s">
        <v>1239</v>
      </c>
      <c r="D5" s="49"/>
      <c r="E5" s="9"/>
      <c r="F5" s="9"/>
      <c r="G5" s="9"/>
      <c r="H5" s="9"/>
      <c r="I5" s="9"/>
      <c r="J5" s="9"/>
    </row>
    <row r="6" spans="1:10" x14ac:dyDescent="0.25">
      <c r="A6" s="24" t="s">
        <v>1196</v>
      </c>
      <c r="B6" s="13">
        <v>22988.26</v>
      </c>
      <c r="C6" s="9"/>
      <c r="D6" s="49"/>
      <c r="E6" s="9"/>
      <c r="F6" s="9"/>
      <c r="G6" s="9"/>
      <c r="H6" s="9"/>
      <c r="I6" s="9"/>
      <c r="J6" s="9"/>
    </row>
    <row r="7" spans="1:10" x14ac:dyDescent="0.25">
      <c r="A7" s="24" t="s">
        <v>991</v>
      </c>
      <c r="B7" s="13">
        <v>0</v>
      </c>
      <c r="C7" s="49"/>
      <c r="D7" s="49"/>
      <c r="E7" s="9"/>
      <c r="F7" s="9"/>
      <c r="G7" s="9"/>
      <c r="H7" s="9"/>
      <c r="I7" s="9"/>
      <c r="J7" s="9"/>
    </row>
    <row r="8" spans="1:10" x14ac:dyDescent="0.25">
      <c r="A8" s="24" t="s">
        <v>818</v>
      </c>
      <c r="B8" s="9"/>
      <c r="C8" s="79">
        <f>B4-B5+B6+B7</f>
        <v>31977.219999999998</v>
      </c>
    </row>
    <row r="9" spans="1:10" x14ac:dyDescent="0.25">
      <c r="B9" s="9"/>
      <c r="C9" s="9"/>
    </row>
    <row r="10" spans="1:10" x14ac:dyDescent="0.25">
      <c r="A10" s="24"/>
      <c r="B10" s="13"/>
      <c r="C10" s="9"/>
    </row>
    <row r="11" spans="1:10" x14ac:dyDescent="0.25">
      <c r="A11" s="24"/>
      <c r="B11" s="13"/>
      <c r="C11" s="79"/>
    </row>
    <row r="12" spans="1:10" x14ac:dyDescent="0.25">
      <c r="A12" s="24"/>
      <c r="B12" s="13"/>
      <c r="C12" s="79"/>
    </row>
    <row r="13" spans="1:10" x14ac:dyDescent="0.25">
      <c r="A13" s="24"/>
      <c r="B13" s="13"/>
      <c r="C13" s="9"/>
    </row>
    <row r="14" spans="1:10" x14ac:dyDescent="0.25">
      <c r="A14" s="110" t="s">
        <v>1049</v>
      </c>
      <c r="B14" s="13"/>
      <c r="C14" s="9"/>
    </row>
    <row r="15" spans="1:10" x14ac:dyDescent="0.25">
      <c r="A15" s="24" t="s">
        <v>1112</v>
      </c>
      <c r="B15" s="9"/>
      <c r="C15" s="9"/>
    </row>
    <row r="17" spans="1:1" x14ac:dyDescent="0.25">
      <c r="A17" s="110" t="s">
        <v>1109</v>
      </c>
    </row>
    <row r="18" spans="1:1" x14ac:dyDescent="0.25">
      <c r="A18" s="24" t="s">
        <v>1111</v>
      </c>
    </row>
    <row r="20" spans="1:1" x14ac:dyDescent="0.25">
      <c r="A20" s="110" t="s">
        <v>1125</v>
      </c>
    </row>
    <row r="21" spans="1:1" x14ac:dyDescent="0.25">
      <c r="A21" s="110"/>
    </row>
    <row r="23" spans="1:1" x14ac:dyDescent="0.25">
      <c r="A23" s="110" t="s">
        <v>1273</v>
      </c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7"/>
  <sheetViews>
    <sheetView workbookViewId="0">
      <selection activeCell="J39" sqref="J39"/>
    </sheetView>
  </sheetViews>
  <sheetFormatPr defaultRowHeight="13.2" x14ac:dyDescent="0.25"/>
  <cols>
    <col min="1" max="1" width="28.5546875" bestFit="1" customWidth="1"/>
    <col min="2" max="2" width="26.5546875" bestFit="1" customWidth="1"/>
    <col min="3" max="3" width="9.88671875" bestFit="1" customWidth="1"/>
    <col min="4" max="4" width="9.6640625" bestFit="1" customWidth="1"/>
  </cols>
  <sheetData>
    <row r="1" spans="1:9" ht="15.6" x14ac:dyDescent="0.3">
      <c r="B1" s="11" t="s">
        <v>788</v>
      </c>
      <c r="C1" s="1"/>
      <c r="D1" s="36"/>
      <c r="E1" s="36"/>
      <c r="F1" s="36"/>
      <c r="G1" s="14"/>
      <c r="H1" s="36"/>
      <c r="I1" s="14"/>
    </row>
    <row r="2" spans="1:9" x14ac:dyDescent="0.25">
      <c r="B2" s="24" t="s">
        <v>789</v>
      </c>
      <c r="C2" s="1"/>
      <c r="D2" s="14"/>
      <c r="E2" s="48"/>
      <c r="F2" s="36"/>
      <c r="G2" s="36"/>
      <c r="H2" s="36"/>
      <c r="I2" s="15"/>
    </row>
    <row r="3" spans="1:9" x14ac:dyDescent="0.25">
      <c r="B3" s="26"/>
      <c r="C3" s="9"/>
      <c r="D3" s="27"/>
      <c r="E3" s="27"/>
      <c r="F3" s="27"/>
      <c r="G3" s="27"/>
      <c r="H3" s="28"/>
      <c r="I3" s="20"/>
    </row>
    <row r="4" spans="1:9" x14ac:dyDescent="0.25">
      <c r="C4" s="9"/>
      <c r="D4" s="14"/>
      <c r="E4" s="14"/>
      <c r="F4" s="14"/>
      <c r="G4" s="14"/>
      <c r="H4" s="1"/>
      <c r="I4" s="15"/>
    </row>
    <row r="5" spans="1:9" x14ac:dyDescent="0.25">
      <c r="A5" s="24" t="s">
        <v>1269</v>
      </c>
      <c r="B5" s="49">
        <v>182344.68</v>
      </c>
      <c r="C5" s="9"/>
      <c r="D5" s="9"/>
      <c r="E5" s="9"/>
      <c r="F5" s="9"/>
      <c r="G5" s="9"/>
      <c r="H5" s="9"/>
      <c r="I5" s="9"/>
    </row>
    <row r="6" spans="1:9" x14ac:dyDescent="0.25">
      <c r="A6" s="24" t="s">
        <v>1270</v>
      </c>
      <c r="B6" s="13">
        <v>160747</v>
      </c>
      <c r="C6" s="49"/>
      <c r="D6" s="9"/>
      <c r="E6" s="9"/>
      <c r="F6" s="9"/>
      <c r="G6" s="9"/>
      <c r="H6" s="9"/>
      <c r="I6" s="9"/>
    </row>
    <row r="7" spans="1:9" x14ac:dyDescent="0.25">
      <c r="A7" s="24" t="s">
        <v>1271</v>
      </c>
      <c r="B7" s="13">
        <v>1041.54</v>
      </c>
      <c r="C7" s="9"/>
      <c r="D7" s="9"/>
      <c r="E7" s="9"/>
      <c r="F7" s="9"/>
      <c r="G7" s="9"/>
      <c r="H7" s="9"/>
      <c r="I7" s="9"/>
    </row>
    <row r="8" spans="1:9" x14ac:dyDescent="0.25">
      <c r="A8" s="24" t="s">
        <v>1216</v>
      </c>
      <c r="B8" s="59">
        <v>25000</v>
      </c>
      <c r="C8" s="49" t="s">
        <v>1041</v>
      </c>
      <c r="D8" s="9"/>
      <c r="E8" s="9"/>
      <c r="F8" s="9">
        <v>25000</v>
      </c>
      <c r="G8" s="9"/>
      <c r="H8" s="9"/>
      <c r="I8" s="9"/>
    </row>
    <row r="9" spans="1:9" x14ac:dyDescent="0.25">
      <c r="A9" s="24" t="s">
        <v>1272</v>
      </c>
      <c r="B9" s="79">
        <f>B5-B6+B7+B8</f>
        <v>47639.219999999994</v>
      </c>
      <c r="D9" s="9"/>
    </row>
    <row r="10" spans="1:9" x14ac:dyDescent="0.25">
      <c r="B10" s="9"/>
      <c r="C10" s="9"/>
      <c r="D10" s="9"/>
    </row>
    <row r="11" spans="1:9" x14ac:dyDescent="0.25">
      <c r="A11" s="24"/>
      <c r="B11" s="13"/>
      <c r="C11" s="9"/>
      <c r="D11" s="9"/>
    </row>
    <row r="12" spans="1:9" x14ac:dyDescent="0.25">
      <c r="A12" s="24"/>
      <c r="B12" s="13"/>
      <c r="C12" s="9"/>
      <c r="D12" s="9"/>
    </row>
    <row r="13" spans="1:9" x14ac:dyDescent="0.25">
      <c r="A13" s="24"/>
      <c r="B13" s="9"/>
      <c r="C13" s="79"/>
      <c r="D13" s="9"/>
    </row>
    <row r="14" spans="1:9" x14ac:dyDescent="0.25">
      <c r="A14" s="24"/>
      <c r="B14" s="9"/>
      <c r="C14" s="9"/>
      <c r="D14" s="9"/>
    </row>
    <row r="15" spans="1:9" x14ac:dyDescent="0.25">
      <c r="A15" s="24"/>
      <c r="B15" s="9"/>
      <c r="C15" s="9"/>
      <c r="D15" s="9"/>
    </row>
    <row r="16" spans="1:9" x14ac:dyDescent="0.25">
      <c r="A16" s="24"/>
      <c r="B16" s="9"/>
      <c r="C16" s="9"/>
      <c r="D16" s="9"/>
    </row>
    <row r="17" spans="1:4" x14ac:dyDescent="0.25">
      <c r="A17" s="24"/>
      <c r="B17" s="9"/>
      <c r="C17" s="9"/>
      <c r="D17" s="9"/>
    </row>
    <row r="18" spans="1:4" x14ac:dyDescent="0.25">
      <c r="A18" s="110" t="s">
        <v>1113</v>
      </c>
      <c r="B18" s="49"/>
      <c r="C18" s="9"/>
      <c r="D18" s="9"/>
    </row>
    <row r="19" spans="1:4" x14ac:dyDescent="0.25">
      <c r="A19" s="24" t="s">
        <v>1117</v>
      </c>
      <c r="B19" s="49">
        <v>62000</v>
      </c>
      <c r="C19" s="122"/>
      <c r="D19" s="9"/>
    </row>
    <row r="20" spans="1:4" x14ac:dyDescent="0.25">
      <c r="A20" s="24" t="s">
        <v>1131</v>
      </c>
      <c r="B20" s="49">
        <v>10000</v>
      </c>
      <c r="C20" s="9"/>
      <c r="D20" s="9"/>
    </row>
    <row r="21" spans="1:4" x14ac:dyDescent="0.25">
      <c r="B21" s="24"/>
      <c r="C21" s="49"/>
      <c r="D21" s="9"/>
    </row>
    <row r="22" spans="1:4" x14ac:dyDescent="0.25">
      <c r="A22" s="110" t="s">
        <v>1180</v>
      </c>
      <c r="B22" s="9"/>
      <c r="C22" s="9"/>
      <c r="D22" s="9"/>
    </row>
    <row r="23" spans="1:4" x14ac:dyDescent="0.25">
      <c r="A23" s="126" t="s">
        <v>1117</v>
      </c>
      <c r="B23" s="143">
        <v>62000</v>
      </c>
      <c r="C23" s="9"/>
      <c r="D23" s="9"/>
    </row>
    <row r="24" spans="1:4" x14ac:dyDescent="0.25">
      <c r="A24" s="126" t="s">
        <v>1215</v>
      </c>
      <c r="B24" s="143">
        <v>180000</v>
      </c>
      <c r="C24" s="9"/>
      <c r="D24" s="9"/>
    </row>
    <row r="25" spans="1:4" x14ac:dyDescent="0.25">
      <c r="B25" s="9"/>
      <c r="C25" s="9"/>
      <c r="D25" s="9"/>
    </row>
    <row r="26" spans="1:4" x14ac:dyDescent="0.25">
      <c r="A26" s="110" t="s">
        <v>1340</v>
      </c>
    </row>
    <row r="27" spans="1:4" x14ac:dyDescent="0.25">
      <c r="A27" s="24" t="s">
        <v>1341</v>
      </c>
      <c r="B27" s="16">
        <v>20000</v>
      </c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0"/>
  <sheetViews>
    <sheetView workbookViewId="0">
      <selection activeCell="A10" sqref="A10"/>
    </sheetView>
  </sheetViews>
  <sheetFormatPr defaultRowHeight="13.2" x14ac:dyDescent="0.25"/>
  <cols>
    <col min="1" max="1" width="32" bestFit="1" customWidth="1"/>
    <col min="2" max="3" width="11.6640625" customWidth="1"/>
  </cols>
  <sheetData>
    <row r="1" spans="1:3" ht="15.6" x14ac:dyDescent="0.3">
      <c r="B1" s="11" t="s">
        <v>819</v>
      </c>
      <c r="C1" s="1"/>
    </row>
    <row r="2" spans="1:3" x14ac:dyDescent="0.25">
      <c r="C2" s="1"/>
    </row>
    <row r="3" spans="1:3" x14ac:dyDescent="0.25">
      <c r="B3" s="26"/>
      <c r="C3" s="26"/>
    </row>
    <row r="4" spans="1:3" x14ac:dyDescent="0.25">
      <c r="A4" s="24" t="s">
        <v>1269</v>
      </c>
      <c r="B4" s="49">
        <v>175917.01</v>
      </c>
      <c r="C4" s="9"/>
    </row>
    <row r="5" spans="1:3" x14ac:dyDescent="0.25">
      <c r="A5" s="24" t="s">
        <v>820</v>
      </c>
      <c r="B5" s="13">
        <v>0</v>
      </c>
      <c r="C5" s="9"/>
    </row>
    <row r="6" spans="1:3" x14ac:dyDescent="0.25">
      <c r="A6" s="24" t="s">
        <v>823</v>
      </c>
      <c r="B6" s="13">
        <v>12055.89</v>
      </c>
      <c r="C6" s="9"/>
    </row>
    <row r="7" spans="1:3" x14ac:dyDescent="0.25">
      <c r="A7" s="24" t="s">
        <v>821</v>
      </c>
      <c r="B7" s="59">
        <v>1011.2</v>
      </c>
      <c r="C7" s="9"/>
    </row>
    <row r="8" spans="1:3" x14ac:dyDescent="0.25">
      <c r="A8" s="24" t="s">
        <v>1272</v>
      </c>
      <c r="B8" s="9"/>
      <c r="C8" s="79">
        <f>SUM(B4:B7)</f>
        <v>188984.10000000003</v>
      </c>
    </row>
    <row r="9" spans="1:3" x14ac:dyDescent="0.25">
      <c r="B9" s="9"/>
      <c r="C9" s="9"/>
    </row>
    <row r="10" spans="1:3" x14ac:dyDescent="0.25">
      <c r="A10" s="24" t="s">
        <v>1241</v>
      </c>
      <c r="B10" s="9"/>
      <c r="C10" s="147"/>
    </row>
    <row r="11" spans="1:3" x14ac:dyDescent="0.25">
      <c r="A11" s="91" t="s">
        <v>57</v>
      </c>
      <c r="C11" s="146">
        <f>C8-C10</f>
        <v>188984.10000000003</v>
      </c>
    </row>
    <row r="12" spans="1:3" x14ac:dyDescent="0.25">
      <c r="A12" s="24"/>
      <c r="B12" s="9"/>
      <c r="C12" s="9"/>
    </row>
    <row r="13" spans="1:3" x14ac:dyDescent="0.25">
      <c r="B13" s="9"/>
      <c r="C13" s="9"/>
    </row>
    <row r="14" spans="1:3" x14ac:dyDescent="0.25">
      <c r="A14" s="110" t="s">
        <v>1049</v>
      </c>
      <c r="B14" s="9"/>
      <c r="C14" s="9"/>
    </row>
    <row r="15" spans="1:3" x14ac:dyDescent="0.25">
      <c r="A15" s="24" t="s">
        <v>1042</v>
      </c>
      <c r="B15" s="13">
        <v>40000</v>
      </c>
      <c r="C15" s="9"/>
    </row>
    <row r="17" spans="1:1" x14ac:dyDescent="0.25">
      <c r="A17" s="110" t="s">
        <v>1109</v>
      </c>
    </row>
    <row r="20" spans="1:1" x14ac:dyDescent="0.25">
      <c r="A20" s="110" t="s">
        <v>1125</v>
      </c>
    </row>
  </sheetData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20"/>
  <sheetViews>
    <sheetView workbookViewId="0">
      <selection activeCell="D17" sqref="D17"/>
    </sheetView>
  </sheetViews>
  <sheetFormatPr defaultRowHeight="13.2" x14ac:dyDescent="0.25"/>
  <cols>
    <col min="1" max="1" width="15.88671875" customWidth="1"/>
    <col min="2" max="2" width="26.5546875" bestFit="1" customWidth="1"/>
    <col min="3" max="9" width="11.6640625" customWidth="1"/>
  </cols>
  <sheetData>
    <row r="1" spans="1:9" ht="15.6" x14ac:dyDescent="0.3">
      <c r="B1" s="11" t="s">
        <v>787</v>
      </c>
      <c r="C1" s="1">
        <v>2021</v>
      </c>
      <c r="D1" s="1">
        <v>2020</v>
      </c>
      <c r="E1" s="1">
        <v>2020</v>
      </c>
      <c r="F1" s="36">
        <v>2019</v>
      </c>
      <c r="G1" s="36">
        <v>2019</v>
      </c>
      <c r="H1" s="36">
        <v>2018</v>
      </c>
      <c r="I1" s="36">
        <v>2018</v>
      </c>
    </row>
    <row r="2" spans="1:9" x14ac:dyDescent="0.25">
      <c r="C2" s="1" t="s">
        <v>501</v>
      </c>
      <c r="D2" s="1" t="s">
        <v>1179</v>
      </c>
      <c r="E2" s="1" t="s">
        <v>501</v>
      </c>
      <c r="F2" s="36" t="s">
        <v>794</v>
      </c>
      <c r="G2" s="36" t="s">
        <v>501</v>
      </c>
      <c r="H2" s="36" t="s">
        <v>794</v>
      </c>
      <c r="I2" s="36" t="s">
        <v>501</v>
      </c>
    </row>
    <row r="3" spans="1:9" ht="13.5" customHeight="1" x14ac:dyDescent="0.25">
      <c r="B3" s="26"/>
      <c r="C3" s="26"/>
      <c r="D3" s="26"/>
      <c r="E3" s="26"/>
      <c r="F3" s="26"/>
      <c r="G3" s="26"/>
      <c r="H3" s="26"/>
      <c r="I3" s="26"/>
    </row>
    <row r="4" spans="1:9" ht="13.5" customHeight="1" x14ac:dyDescent="0.25">
      <c r="A4" s="24" t="s">
        <v>76</v>
      </c>
      <c r="B4" s="26"/>
      <c r="C4" s="97"/>
      <c r="D4" s="26"/>
      <c r="E4" s="26"/>
      <c r="F4" s="26"/>
      <c r="G4" s="26"/>
      <c r="H4" s="26"/>
      <c r="I4" s="26"/>
    </row>
    <row r="5" spans="1:9" ht="13.5" customHeight="1" x14ac:dyDescent="0.25">
      <c r="A5" s="24" t="s">
        <v>931</v>
      </c>
      <c r="B5" s="54" t="s">
        <v>691</v>
      </c>
      <c r="C5" s="78">
        <v>50</v>
      </c>
      <c r="D5" s="78">
        <v>117.93</v>
      </c>
      <c r="E5" s="78">
        <v>0</v>
      </c>
      <c r="F5" s="78">
        <v>343.49</v>
      </c>
      <c r="G5" s="78">
        <v>0</v>
      </c>
      <c r="H5" s="78">
        <v>43.34</v>
      </c>
      <c r="I5" s="78">
        <v>0</v>
      </c>
    </row>
    <row r="6" spans="1:9" ht="13.5" customHeight="1" x14ac:dyDescent="0.25">
      <c r="A6" s="24" t="s">
        <v>932</v>
      </c>
      <c r="B6" s="54" t="s">
        <v>43</v>
      </c>
      <c r="C6" s="78">
        <v>25000</v>
      </c>
      <c r="D6" s="78">
        <v>25000</v>
      </c>
      <c r="E6" s="78">
        <v>25000</v>
      </c>
      <c r="F6" s="78">
        <v>0</v>
      </c>
      <c r="G6" s="78">
        <v>1000</v>
      </c>
      <c r="H6" s="78">
        <v>10000</v>
      </c>
      <c r="I6" s="78">
        <v>10000</v>
      </c>
    </row>
    <row r="7" spans="1:9" ht="13.5" customHeight="1" x14ac:dyDescent="0.25">
      <c r="A7" s="24"/>
      <c r="B7" s="54"/>
      <c r="C7" s="78"/>
      <c r="D7" s="78"/>
      <c r="E7" s="78"/>
      <c r="F7" s="78"/>
      <c r="G7" s="78"/>
      <c r="H7" s="78"/>
      <c r="I7" s="78"/>
    </row>
    <row r="8" spans="1:9" ht="13.5" customHeight="1" x14ac:dyDescent="0.25">
      <c r="A8" s="24"/>
      <c r="B8" s="54" t="s">
        <v>740</v>
      </c>
      <c r="C8" s="78">
        <f>SUM(C5:C6)</f>
        <v>25050</v>
      </c>
      <c r="D8" s="78">
        <f>SUM(D5:D7)</f>
        <v>25117.93</v>
      </c>
      <c r="E8" s="78">
        <f>SUM(E5:E7)</f>
        <v>25000</v>
      </c>
      <c r="F8" s="78">
        <f>SUM(F5:F7)</f>
        <v>343.49</v>
      </c>
      <c r="G8" s="78">
        <f>SUM(G5:G6)</f>
        <v>1000</v>
      </c>
      <c r="H8" s="78">
        <f>SUM(H5:H7)</f>
        <v>10043.34</v>
      </c>
      <c r="I8" s="78">
        <f>SUM(I5:I7)</f>
        <v>10000</v>
      </c>
    </row>
    <row r="9" spans="1:9" ht="13.5" customHeight="1" x14ac:dyDescent="0.25">
      <c r="B9" s="26"/>
      <c r="C9" s="97"/>
      <c r="D9" s="97"/>
      <c r="E9" s="97"/>
      <c r="F9" s="97"/>
      <c r="G9" s="97"/>
      <c r="H9" s="26"/>
      <c r="I9" s="97"/>
    </row>
    <row r="10" spans="1:9" x14ac:dyDescent="0.25">
      <c r="A10" t="s">
        <v>77</v>
      </c>
      <c r="C10" s="9"/>
      <c r="D10" s="9"/>
      <c r="E10" s="9"/>
      <c r="F10" s="9"/>
      <c r="G10" s="9"/>
      <c r="I10" s="9"/>
    </row>
    <row r="11" spans="1:9" x14ac:dyDescent="0.25">
      <c r="A11" s="24" t="s">
        <v>1342</v>
      </c>
      <c r="B11" s="24" t="s">
        <v>92</v>
      </c>
      <c r="C11" s="9">
        <v>0</v>
      </c>
      <c r="D11" s="9">
        <v>4250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x14ac:dyDescent="0.25">
      <c r="A12" s="24" t="s">
        <v>933</v>
      </c>
      <c r="B12" s="24" t="s">
        <v>689</v>
      </c>
      <c r="C12" s="49">
        <v>0</v>
      </c>
      <c r="D12" s="49">
        <v>0</v>
      </c>
      <c r="E12" s="49">
        <v>0</v>
      </c>
      <c r="F12" s="49">
        <v>28000</v>
      </c>
      <c r="G12" s="49">
        <v>0</v>
      </c>
      <c r="H12" s="49">
        <v>0</v>
      </c>
      <c r="I12" s="49">
        <v>0</v>
      </c>
    </row>
    <row r="13" spans="1:9" x14ac:dyDescent="0.25">
      <c r="A13" s="24"/>
      <c r="C13" s="9"/>
      <c r="D13" s="9"/>
      <c r="E13" s="9"/>
      <c r="F13" s="9"/>
      <c r="G13" s="9"/>
      <c r="H13" s="9"/>
      <c r="I13" s="9"/>
    </row>
    <row r="14" spans="1:9" x14ac:dyDescent="0.25">
      <c r="B14" t="s">
        <v>740</v>
      </c>
      <c r="C14" s="9">
        <f>SUM(C11:C13)</f>
        <v>0</v>
      </c>
      <c r="D14" s="9">
        <f>SUM(D11:D13)</f>
        <v>4250</v>
      </c>
      <c r="E14" s="9">
        <f>E12</f>
        <v>0</v>
      </c>
      <c r="F14" s="9">
        <f>SUM(F12:F13)</f>
        <v>28000</v>
      </c>
      <c r="G14" s="9">
        <v>0</v>
      </c>
      <c r="H14" s="9">
        <v>0</v>
      </c>
      <c r="I14" s="9">
        <f>I12</f>
        <v>0</v>
      </c>
    </row>
    <row r="15" spans="1:9" x14ac:dyDescent="0.25">
      <c r="H15" s="9"/>
    </row>
    <row r="18" spans="1:1" x14ac:dyDescent="0.25">
      <c r="A18" s="24" t="s">
        <v>1309</v>
      </c>
    </row>
    <row r="19" spans="1:1" x14ac:dyDescent="0.25">
      <c r="A19" s="43"/>
    </row>
    <row r="20" spans="1:1" x14ac:dyDescent="0.25">
      <c r="A20" s="24" t="s">
        <v>1197</v>
      </c>
    </row>
  </sheetData>
  <pageMargins left="0.7" right="0.7" top="0.75" bottom="0.75" header="0.3" footer="0.3"/>
  <pageSetup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4"/>
  <sheetViews>
    <sheetView workbookViewId="0">
      <selection activeCell="B24" sqref="B24"/>
    </sheetView>
  </sheetViews>
  <sheetFormatPr defaultRowHeight="13.2" x14ac:dyDescent="0.25"/>
  <cols>
    <col min="1" max="1" width="28.44140625" customWidth="1"/>
    <col min="2" max="2" width="12.6640625" customWidth="1"/>
    <col min="3" max="3" width="11.6640625" customWidth="1"/>
  </cols>
  <sheetData>
    <row r="1" spans="1:3" ht="15.6" x14ac:dyDescent="0.3">
      <c r="B1" s="11" t="s">
        <v>822</v>
      </c>
      <c r="C1" s="1"/>
    </row>
    <row r="2" spans="1:3" x14ac:dyDescent="0.25">
      <c r="C2" s="1"/>
    </row>
    <row r="3" spans="1:3" x14ac:dyDescent="0.25">
      <c r="B3" s="26"/>
      <c r="C3" s="26"/>
    </row>
    <row r="4" spans="1:3" x14ac:dyDescent="0.25">
      <c r="A4" s="24" t="s">
        <v>1269</v>
      </c>
      <c r="B4" s="49">
        <v>233053.86</v>
      </c>
      <c r="C4" s="9"/>
    </row>
    <row r="5" spans="1:3" x14ac:dyDescent="0.25">
      <c r="A5" s="24" t="s">
        <v>1343</v>
      </c>
      <c r="B5" s="9">
        <v>95397.47</v>
      </c>
      <c r="C5" s="9"/>
    </row>
    <row r="6" spans="1:3" x14ac:dyDescent="0.25">
      <c r="A6" s="24" t="s">
        <v>855</v>
      </c>
      <c r="B6" s="59">
        <v>40557.74</v>
      </c>
      <c r="C6" s="9"/>
    </row>
    <row r="7" spans="1:3" x14ac:dyDescent="0.25">
      <c r="A7" s="24" t="s">
        <v>1272</v>
      </c>
      <c r="B7" s="9"/>
      <c r="C7" s="79">
        <f>B4-B5+B6</f>
        <v>178214.12999999998</v>
      </c>
    </row>
    <row r="8" spans="1:3" x14ac:dyDescent="0.25">
      <c r="B8" s="9"/>
      <c r="C8" s="9"/>
    </row>
    <row r="9" spans="1:3" x14ac:dyDescent="0.25">
      <c r="A9" s="24"/>
      <c r="B9" s="13"/>
      <c r="C9" s="9"/>
    </row>
    <row r="10" spans="1:3" x14ac:dyDescent="0.25">
      <c r="A10" s="24"/>
      <c r="B10" s="9"/>
      <c r="C10" s="79"/>
    </row>
    <row r="11" spans="1:3" x14ac:dyDescent="0.25">
      <c r="A11" s="24"/>
      <c r="B11" s="9"/>
      <c r="C11" s="79"/>
    </row>
    <row r="12" spans="1:3" x14ac:dyDescent="0.25">
      <c r="A12" s="110" t="s">
        <v>1049</v>
      </c>
      <c r="B12" s="9"/>
      <c r="C12" s="9"/>
    </row>
    <row r="13" spans="1:3" x14ac:dyDescent="0.25">
      <c r="A13" s="24" t="s">
        <v>1043</v>
      </c>
      <c r="B13" s="13">
        <v>30000</v>
      </c>
      <c r="C13" s="9"/>
    </row>
    <row r="15" spans="1:3" x14ac:dyDescent="0.25">
      <c r="A15" s="110" t="s">
        <v>1109</v>
      </c>
    </row>
    <row r="16" spans="1:3" x14ac:dyDescent="0.25">
      <c r="A16" s="24" t="s">
        <v>1175</v>
      </c>
      <c r="B16" s="9">
        <v>52000</v>
      </c>
    </row>
    <row r="19" spans="1:2" x14ac:dyDescent="0.25">
      <c r="A19" s="110" t="s">
        <v>1125</v>
      </c>
    </row>
    <row r="20" spans="1:2" x14ac:dyDescent="0.25">
      <c r="A20" t="s">
        <v>1237</v>
      </c>
      <c r="B20" s="9"/>
    </row>
    <row r="21" spans="1:2" x14ac:dyDescent="0.25">
      <c r="A21" t="s">
        <v>1238</v>
      </c>
    </row>
    <row r="23" spans="1:2" x14ac:dyDescent="0.25">
      <c r="A23" s="110" t="s">
        <v>1273</v>
      </c>
    </row>
    <row r="24" spans="1:2" x14ac:dyDescent="0.25">
      <c r="A24" t="s">
        <v>1175</v>
      </c>
      <c r="B24" s="135">
        <v>45268</v>
      </c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3"/>
  <sheetViews>
    <sheetView workbookViewId="0">
      <selection activeCell="C24" sqref="C24"/>
    </sheetView>
  </sheetViews>
  <sheetFormatPr defaultRowHeight="13.2" x14ac:dyDescent="0.25"/>
  <cols>
    <col min="1" max="1" width="29.33203125" bestFit="1" customWidth="1"/>
    <col min="2" max="2" width="12.6640625" customWidth="1"/>
    <col min="3" max="3" width="11.6640625" customWidth="1"/>
  </cols>
  <sheetData>
    <row r="1" spans="1:3" ht="15.6" x14ac:dyDescent="0.3">
      <c r="B1" s="11" t="s">
        <v>824</v>
      </c>
      <c r="C1" s="1"/>
    </row>
    <row r="2" spans="1:3" x14ac:dyDescent="0.25">
      <c r="C2" s="1"/>
    </row>
    <row r="3" spans="1:3" x14ac:dyDescent="0.25">
      <c r="B3" s="26"/>
      <c r="C3" s="26"/>
    </row>
    <row r="4" spans="1:3" x14ac:dyDescent="0.25">
      <c r="A4" s="24" t="s">
        <v>1269</v>
      </c>
      <c r="B4" s="49">
        <v>321737.12</v>
      </c>
      <c r="C4" s="9"/>
    </row>
    <row r="5" spans="1:3" x14ac:dyDescent="0.25">
      <c r="A5" s="24" t="s">
        <v>820</v>
      </c>
      <c r="B5" s="13">
        <v>0</v>
      </c>
      <c r="C5" s="9"/>
    </row>
    <row r="6" spans="1:3" x14ac:dyDescent="0.25">
      <c r="A6" s="24" t="s">
        <v>856</v>
      </c>
      <c r="B6" s="13">
        <v>49020.42</v>
      </c>
      <c r="C6" s="9"/>
    </row>
    <row r="7" spans="1:3" x14ac:dyDescent="0.25">
      <c r="A7" s="24" t="s">
        <v>1272</v>
      </c>
      <c r="B7" s="9"/>
      <c r="C7" s="79">
        <f>(B4-B5)+B6</f>
        <v>370757.54</v>
      </c>
    </row>
    <row r="8" spans="1:3" x14ac:dyDescent="0.25">
      <c r="B8" s="9"/>
      <c r="C8" s="9"/>
    </row>
    <row r="9" spans="1:3" x14ac:dyDescent="0.25">
      <c r="A9" s="24"/>
      <c r="B9" s="9"/>
      <c r="C9" s="9"/>
    </row>
    <row r="10" spans="1:3" x14ac:dyDescent="0.25">
      <c r="B10" s="9"/>
      <c r="C10" s="9"/>
    </row>
    <row r="11" spans="1:3" x14ac:dyDescent="0.25">
      <c r="A11" s="110" t="s">
        <v>1049</v>
      </c>
      <c r="B11" s="9"/>
      <c r="C11" s="9"/>
    </row>
    <row r="12" spans="1:3" x14ac:dyDescent="0.25">
      <c r="A12" s="24" t="s">
        <v>1044</v>
      </c>
      <c r="B12" s="9">
        <v>750000</v>
      </c>
      <c r="C12" s="24" t="s">
        <v>1045</v>
      </c>
    </row>
    <row r="14" spans="1:3" x14ac:dyDescent="0.25">
      <c r="A14" s="110" t="s">
        <v>1109</v>
      </c>
    </row>
    <row r="15" spans="1:3" x14ac:dyDescent="0.25">
      <c r="A15" s="24" t="s">
        <v>1044</v>
      </c>
      <c r="B15" s="9">
        <v>750000</v>
      </c>
    </row>
    <row r="18" spans="1:3" x14ac:dyDescent="0.25">
      <c r="A18" s="110" t="s">
        <v>1125</v>
      </c>
    </row>
    <row r="19" spans="1:3" x14ac:dyDescent="0.25">
      <c r="A19" t="s">
        <v>1044</v>
      </c>
      <c r="B19" s="9">
        <v>877000</v>
      </c>
    </row>
    <row r="20" spans="1:3" x14ac:dyDescent="0.25">
      <c r="A20" t="s">
        <v>1237</v>
      </c>
      <c r="B20" s="9">
        <v>730000</v>
      </c>
    </row>
    <row r="22" spans="1:3" x14ac:dyDescent="0.25">
      <c r="A22" s="110" t="s">
        <v>1273</v>
      </c>
    </row>
    <row r="23" spans="1:3" x14ac:dyDescent="0.25">
      <c r="A23" s="24" t="s">
        <v>1352</v>
      </c>
      <c r="B23" s="135">
        <v>80745</v>
      </c>
      <c r="C23" t="s">
        <v>1395</v>
      </c>
    </row>
  </sheetData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39"/>
  <sheetViews>
    <sheetView topLeftCell="A16" workbookViewId="0">
      <selection activeCell="E3" sqref="E3"/>
    </sheetView>
  </sheetViews>
  <sheetFormatPr defaultRowHeight="13.2" x14ac:dyDescent="0.25"/>
  <cols>
    <col min="1" max="1" width="18.33203125" customWidth="1"/>
    <col min="2" max="2" width="27.44140625" customWidth="1"/>
    <col min="3" max="3" width="7.5546875" customWidth="1"/>
    <col min="4" max="10" width="11.6640625" customWidth="1"/>
  </cols>
  <sheetData>
    <row r="1" spans="1:10" ht="15.6" x14ac:dyDescent="0.3">
      <c r="B1" s="11" t="s">
        <v>577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0" x14ac:dyDescent="0.25">
      <c r="D2" s="1" t="s">
        <v>501</v>
      </c>
      <c r="E2" s="1" t="s">
        <v>1370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3" spans="1:10" x14ac:dyDescent="0.25">
      <c r="A3" s="24" t="s">
        <v>76</v>
      </c>
    </row>
    <row r="4" spans="1:10" x14ac:dyDescent="0.25">
      <c r="A4" s="24" t="s">
        <v>586</v>
      </c>
      <c r="B4" s="24" t="s">
        <v>27</v>
      </c>
      <c r="D4" s="9">
        <v>11500</v>
      </c>
      <c r="E4" s="9">
        <v>5746.23</v>
      </c>
      <c r="F4" s="9">
        <v>11500</v>
      </c>
      <c r="G4" s="9">
        <v>11876.65</v>
      </c>
      <c r="H4" s="9">
        <v>11500</v>
      </c>
      <c r="I4" s="9">
        <v>10889.35</v>
      </c>
      <c r="J4" s="9">
        <v>9000</v>
      </c>
    </row>
    <row r="5" spans="1:10" x14ac:dyDescent="0.25">
      <c r="A5" s="24" t="s">
        <v>928</v>
      </c>
      <c r="B5" s="24" t="s">
        <v>691</v>
      </c>
      <c r="D5" s="9">
        <v>10</v>
      </c>
      <c r="E5" s="9">
        <v>20.04</v>
      </c>
      <c r="F5" s="9">
        <v>10</v>
      </c>
      <c r="G5" s="9">
        <v>21.07</v>
      </c>
      <c r="H5" s="9">
        <v>10</v>
      </c>
      <c r="I5" s="9">
        <v>11.3</v>
      </c>
      <c r="J5" s="9">
        <v>10</v>
      </c>
    </row>
    <row r="6" spans="1:10" x14ac:dyDescent="0.25">
      <c r="D6" s="9"/>
      <c r="E6" s="9"/>
      <c r="F6" s="9"/>
      <c r="G6" s="9"/>
      <c r="H6" s="9"/>
      <c r="I6" s="9"/>
      <c r="J6" s="9"/>
    </row>
    <row r="7" spans="1:10" x14ac:dyDescent="0.25">
      <c r="B7" s="26" t="s">
        <v>57</v>
      </c>
      <c r="D7" s="9">
        <f>SUM(D4:D6)</f>
        <v>11510</v>
      </c>
      <c r="E7" s="9">
        <f>SUM(E4:E5)</f>
        <v>5766.2699999999995</v>
      </c>
      <c r="F7" s="9">
        <f>SUM(F4:F6)</f>
        <v>11510</v>
      </c>
      <c r="G7" s="9">
        <f>SUM(G4:G5)</f>
        <v>11897.72</v>
      </c>
      <c r="H7" s="9">
        <f>SUM(H4:H5)</f>
        <v>11510</v>
      </c>
      <c r="I7" s="9">
        <f t="shared" ref="I7:J7" si="0">SUM(I4:I6)</f>
        <v>10900.65</v>
      </c>
      <c r="J7" s="9">
        <f t="shared" si="0"/>
        <v>9010</v>
      </c>
    </row>
    <row r="8" spans="1:10" x14ac:dyDescent="0.25">
      <c r="A8" t="s">
        <v>77</v>
      </c>
      <c r="D8" s="9"/>
      <c r="E8" s="9"/>
      <c r="G8" s="9"/>
      <c r="H8" s="9"/>
      <c r="I8" s="9"/>
      <c r="J8" s="9"/>
    </row>
    <row r="9" spans="1:10" x14ac:dyDescent="0.25">
      <c r="A9" t="s">
        <v>190</v>
      </c>
      <c r="D9" s="9"/>
      <c r="E9" s="9"/>
      <c r="G9" s="9"/>
      <c r="H9" s="9"/>
      <c r="I9" s="9"/>
      <c r="J9" s="9"/>
    </row>
    <row r="10" spans="1:10" x14ac:dyDescent="0.25">
      <c r="A10" s="24" t="s">
        <v>578</v>
      </c>
      <c r="B10" t="s">
        <v>46</v>
      </c>
      <c r="D10" s="9">
        <v>6000</v>
      </c>
      <c r="E10" s="9">
        <v>2031.5</v>
      </c>
      <c r="F10" s="9">
        <v>5000</v>
      </c>
      <c r="G10" s="9">
        <v>4784.95</v>
      </c>
      <c r="H10" s="9">
        <v>5000</v>
      </c>
      <c r="I10" s="9">
        <v>6537.2</v>
      </c>
      <c r="J10" s="9">
        <v>7000</v>
      </c>
    </row>
    <row r="11" spans="1:10" x14ac:dyDescent="0.25">
      <c r="A11" t="s">
        <v>186</v>
      </c>
      <c r="D11" s="9"/>
      <c r="E11" s="9"/>
      <c r="F11" s="9"/>
      <c r="G11" s="9"/>
      <c r="H11" s="9"/>
      <c r="I11" s="9"/>
      <c r="J11" s="9"/>
    </row>
    <row r="12" spans="1:10" x14ac:dyDescent="0.25">
      <c r="A12" t="s">
        <v>767</v>
      </c>
      <c r="B12" t="s">
        <v>188</v>
      </c>
      <c r="D12" s="9">
        <f>D10*0.075</f>
        <v>450</v>
      </c>
      <c r="E12" s="9">
        <v>152.38</v>
      </c>
      <c r="F12" s="9">
        <v>525</v>
      </c>
      <c r="G12" s="9">
        <v>358.89</v>
      </c>
      <c r="H12" s="9">
        <v>525</v>
      </c>
      <c r="I12" s="9">
        <v>490.29</v>
      </c>
      <c r="J12" s="9">
        <f>J10*0.075</f>
        <v>525</v>
      </c>
    </row>
    <row r="13" spans="1:10" x14ac:dyDescent="0.25">
      <c r="A13" s="24" t="s">
        <v>579</v>
      </c>
      <c r="B13" t="s">
        <v>80</v>
      </c>
      <c r="D13" s="9">
        <f>D10*0.062</f>
        <v>372</v>
      </c>
      <c r="E13" s="9">
        <v>125.94</v>
      </c>
      <c r="F13" s="9">
        <v>434</v>
      </c>
      <c r="G13" s="9">
        <v>296.66000000000003</v>
      </c>
      <c r="H13" s="9">
        <v>434</v>
      </c>
      <c r="I13" s="9">
        <v>405.33</v>
      </c>
      <c r="J13" s="9">
        <f>J10*0.062</f>
        <v>434</v>
      </c>
    </row>
    <row r="14" spans="1:10" x14ac:dyDescent="0.25">
      <c r="A14" s="24" t="s">
        <v>580</v>
      </c>
      <c r="B14" t="s">
        <v>82</v>
      </c>
      <c r="D14" s="9">
        <f>D10*0.0145</f>
        <v>87</v>
      </c>
      <c r="E14" s="9">
        <v>29.46</v>
      </c>
      <c r="F14" s="9">
        <v>102</v>
      </c>
      <c r="G14" s="9">
        <v>69.37</v>
      </c>
      <c r="H14" s="9">
        <v>102</v>
      </c>
      <c r="I14" s="9">
        <v>94.79</v>
      </c>
      <c r="J14" s="9">
        <f>J10*0.0145</f>
        <v>101.5</v>
      </c>
    </row>
    <row r="15" spans="1:10" x14ac:dyDescent="0.25">
      <c r="A15" t="s">
        <v>42</v>
      </c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t="s">
        <v>353</v>
      </c>
      <c r="B16" t="s">
        <v>180</v>
      </c>
      <c r="C16" s="9"/>
      <c r="D16" s="9">
        <v>200</v>
      </c>
      <c r="E16" s="9">
        <v>183</v>
      </c>
      <c r="F16" s="9">
        <v>10</v>
      </c>
      <c r="G16" s="9">
        <v>4</v>
      </c>
      <c r="H16" s="9">
        <v>10</v>
      </c>
      <c r="I16" s="9">
        <v>4</v>
      </c>
      <c r="J16" s="9">
        <v>10</v>
      </c>
    </row>
    <row r="17" spans="1:10" x14ac:dyDescent="0.25">
      <c r="A17" t="s">
        <v>32</v>
      </c>
      <c r="D17" s="9"/>
      <c r="E17" s="9"/>
      <c r="F17" s="9"/>
      <c r="G17" s="9"/>
      <c r="H17" s="9"/>
      <c r="I17" s="9"/>
      <c r="J17" s="9"/>
    </row>
    <row r="18" spans="1:10" x14ac:dyDescent="0.25">
      <c r="A18" s="24" t="s">
        <v>581</v>
      </c>
      <c r="B18" t="s">
        <v>41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x14ac:dyDescent="0.25">
      <c r="A19" t="s">
        <v>147</v>
      </c>
      <c r="D19" s="9"/>
      <c r="E19" s="9"/>
      <c r="F19" s="9"/>
      <c r="G19" s="9"/>
      <c r="H19" s="9"/>
      <c r="I19" s="9"/>
      <c r="J19" s="9"/>
    </row>
    <row r="20" spans="1:10" x14ac:dyDescent="0.25">
      <c r="A20" s="24" t="s">
        <v>582</v>
      </c>
      <c r="B20" t="s">
        <v>517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x14ac:dyDescent="0.25">
      <c r="A21" s="24" t="s">
        <v>6</v>
      </c>
      <c r="D21" s="9"/>
      <c r="E21" s="9"/>
      <c r="F21" s="9"/>
      <c r="G21" s="9"/>
      <c r="H21" s="9"/>
      <c r="I21" s="9"/>
      <c r="J21" s="9"/>
    </row>
    <row r="22" spans="1:10" x14ac:dyDescent="0.25">
      <c r="A22" s="24" t="s">
        <v>673</v>
      </c>
      <c r="B22" s="24" t="s">
        <v>674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x14ac:dyDescent="0.25">
      <c r="A23" s="24" t="s">
        <v>632</v>
      </c>
      <c r="B23" s="24" t="s">
        <v>92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25">
      <c r="A24" s="24" t="s">
        <v>670</v>
      </c>
      <c r="B24" s="24" t="s">
        <v>137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x14ac:dyDescent="0.25">
      <c r="A25" s="24" t="s">
        <v>134</v>
      </c>
      <c r="B25" s="24"/>
      <c r="D25" s="9"/>
      <c r="E25" s="9"/>
      <c r="F25" s="9"/>
      <c r="G25" s="9"/>
      <c r="H25" s="9"/>
      <c r="I25" s="9"/>
      <c r="J25" s="9"/>
    </row>
    <row r="26" spans="1:10" x14ac:dyDescent="0.25">
      <c r="A26" s="24" t="s">
        <v>773</v>
      </c>
      <c r="B26" s="24" t="s">
        <v>135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x14ac:dyDescent="0.25">
      <c r="A27" t="s">
        <v>492</v>
      </c>
      <c r="D27" s="9"/>
      <c r="E27" s="9"/>
      <c r="F27" s="9"/>
      <c r="G27" s="9"/>
      <c r="H27" s="9"/>
      <c r="I27" s="9"/>
      <c r="J27" s="9"/>
    </row>
    <row r="28" spans="1:10" x14ac:dyDescent="0.25">
      <c r="A28" s="24" t="s">
        <v>583</v>
      </c>
      <c r="B28" t="s">
        <v>112</v>
      </c>
      <c r="D28" s="9">
        <v>4401</v>
      </c>
      <c r="E28" s="9">
        <v>12035.95</v>
      </c>
      <c r="F28" s="9">
        <v>5439</v>
      </c>
      <c r="G28" s="9">
        <v>0</v>
      </c>
      <c r="H28" s="9">
        <v>5439</v>
      </c>
      <c r="I28" s="9">
        <v>158.03</v>
      </c>
      <c r="J28" s="9">
        <v>950</v>
      </c>
    </row>
    <row r="29" spans="1:10" x14ac:dyDescent="0.25">
      <c r="A29" t="s">
        <v>105</v>
      </c>
      <c r="D29" s="9"/>
      <c r="E29" s="9"/>
      <c r="F29" s="9"/>
      <c r="G29" s="9"/>
      <c r="H29" s="9"/>
      <c r="I29" s="9"/>
      <c r="J29" s="9"/>
    </row>
    <row r="30" spans="1:10" x14ac:dyDescent="0.25">
      <c r="A30" s="24" t="s">
        <v>671</v>
      </c>
      <c r="B30" s="24" t="s">
        <v>672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25">
      <c r="A31" s="24" t="s">
        <v>584</v>
      </c>
      <c r="B31" t="s">
        <v>532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x14ac:dyDescent="0.25">
      <c r="A32" s="24" t="s">
        <v>585</v>
      </c>
      <c r="B32" t="s">
        <v>575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1" x14ac:dyDescent="0.25">
      <c r="A33" s="24" t="s">
        <v>669</v>
      </c>
      <c r="B33" s="24" t="s">
        <v>531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1" x14ac:dyDescent="0.25">
      <c r="B34" s="22" t="s">
        <v>57</v>
      </c>
      <c r="D34" s="9">
        <f>SUM(D10:D33)</f>
        <v>11510</v>
      </c>
      <c r="E34" s="9">
        <f>SUM(E10:E33)</f>
        <v>14558.230000000001</v>
      </c>
      <c r="F34" s="9">
        <f>SUM(F10:F33)</f>
        <v>11510</v>
      </c>
      <c r="G34" s="9">
        <f>SUM(G10:G33)</f>
        <v>5513.87</v>
      </c>
      <c r="H34" s="9">
        <f t="shared" ref="H34:J34" si="1">SUM(H10:H33)</f>
        <v>11510</v>
      </c>
      <c r="I34" s="9">
        <f t="shared" si="1"/>
        <v>7689.6399999999994</v>
      </c>
      <c r="J34" s="9">
        <f t="shared" si="1"/>
        <v>9020.5</v>
      </c>
      <c r="K34" s="24"/>
    </row>
    <row r="36" spans="1:11" x14ac:dyDescent="0.25">
      <c r="A36" s="1"/>
    </row>
    <row r="37" spans="1:11" x14ac:dyDescent="0.25">
      <c r="A37" s="24" t="s">
        <v>1149</v>
      </c>
    </row>
    <row r="38" spans="1:11" x14ac:dyDescent="0.25">
      <c r="B38" s="24"/>
    </row>
    <row r="39" spans="1:11" x14ac:dyDescent="0.25">
      <c r="A39" s="24" t="s">
        <v>1382</v>
      </c>
    </row>
  </sheetData>
  <phoneticPr fontId="2" type="noConversion"/>
  <pageMargins left="0.25" right="0.25" top="0.75" bottom="0.75" header="0.3" footer="0.3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114"/>
  <sheetViews>
    <sheetView topLeftCell="A19" zoomScaleNormal="100" workbookViewId="0">
      <selection activeCell="C32" sqref="C32"/>
    </sheetView>
  </sheetViews>
  <sheetFormatPr defaultRowHeight="13.2" x14ac:dyDescent="0.25"/>
  <cols>
    <col min="1" max="1" width="26.33203125" customWidth="1"/>
    <col min="2" max="2" width="31.109375" customWidth="1"/>
    <col min="3" max="3" width="11.6640625" customWidth="1"/>
    <col min="4" max="4" width="13.5546875" bestFit="1" customWidth="1"/>
    <col min="5" max="6" width="11.6640625" customWidth="1"/>
    <col min="7" max="7" width="11.5546875" customWidth="1"/>
    <col min="8" max="8" width="11.6640625" customWidth="1"/>
  </cols>
  <sheetData>
    <row r="1" spans="1:8" ht="15.6" x14ac:dyDescent="0.3">
      <c r="B1" s="11" t="s">
        <v>1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</row>
    <row r="2" spans="1:8" x14ac:dyDescent="0.25">
      <c r="A2" t="s">
        <v>39</v>
      </c>
      <c r="C2" s="1" t="s">
        <v>501</v>
      </c>
      <c r="D2" s="1" t="s">
        <v>1370</v>
      </c>
      <c r="E2" s="36" t="s">
        <v>501</v>
      </c>
      <c r="F2" s="36" t="s">
        <v>794</v>
      </c>
      <c r="G2" s="36" t="s">
        <v>501</v>
      </c>
      <c r="H2" s="36" t="s">
        <v>794</v>
      </c>
    </row>
    <row r="4" spans="1:8" x14ac:dyDescent="0.25">
      <c r="A4" t="s">
        <v>1198</v>
      </c>
      <c r="B4" t="s">
        <v>1199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71934.64</v>
      </c>
    </row>
    <row r="5" spans="1:8" x14ac:dyDescent="0.25">
      <c r="A5" s="10" t="s">
        <v>555</v>
      </c>
      <c r="B5" s="10" t="s">
        <v>556</v>
      </c>
      <c r="C5" s="18">
        <v>0</v>
      </c>
      <c r="D5" s="18">
        <v>750</v>
      </c>
      <c r="E5" s="18">
        <v>0</v>
      </c>
      <c r="F5" s="18">
        <v>3146</v>
      </c>
      <c r="G5" s="18">
        <v>0</v>
      </c>
      <c r="H5" s="18">
        <v>0</v>
      </c>
    </row>
    <row r="6" spans="1:8" x14ac:dyDescent="0.25">
      <c r="A6" s="10" t="s">
        <v>557</v>
      </c>
      <c r="B6" t="s">
        <v>473</v>
      </c>
      <c r="C6" s="9">
        <v>1714838</v>
      </c>
      <c r="D6" s="9">
        <v>1309774.8899999999</v>
      </c>
      <c r="E6" s="9">
        <f>H6*1.04</f>
        <v>1714837.9768000001</v>
      </c>
      <c r="F6" s="9">
        <v>1610499.08</v>
      </c>
      <c r="G6" s="9" t="e">
        <f>#REF!*1.04</f>
        <v>#REF!</v>
      </c>
      <c r="H6" s="9">
        <v>1648882.67</v>
      </c>
    </row>
    <row r="7" spans="1:8" x14ac:dyDescent="0.25">
      <c r="A7" t="s">
        <v>151</v>
      </c>
      <c r="B7" t="s">
        <v>24</v>
      </c>
      <c r="C7" s="9">
        <v>6000</v>
      </c>
      <c r="D7" s="9">
        <v>3603.08</v>
      </c>
      <c r="E7" s="9">
        <v>6000</v>
      </c>
      <c r="F7" s="9">
        <v>5516.44</v>
      </c>
      <c r="G7" s="9">
        <v>6000</v>
      </c>
      <c r="H7" s="9">
        <v>5780.65</v>
      </c>
    </row>
    <row r="8" spans="1:8" x14ac:dyDescent="0.25">
      <c r="A8" s="24" t="s">
        <v>678</v>
      </c>
      <c r="B8" s="24" t="s">
        <v>473</v>
      </c>
      <c r="C8" s="49">
        <v>2000</v>
      </c>
      <c r="D8" s="49">
        <v>396</v>
      </c>
      <c r="E8" s="49">
        <v>2000</v>
      </c>
      <c r="F8" s="49">
        <v>2844</v>
      </c>
      <c r="G8" s="49">
        <v>2000</v>
      </c>
      <c r="H8" s="49">
        <v>2422.66</v>
      </c>
    </row>
    <row r="9" spans="1:8" x14ac:dyDescent="0.25">
      <c r="A9" s="24" t="s">
        <v>679</v>
      </c>
      <c r="B9" s="24" t="s">
        <v>680</v>
      </c>
      <c r="C9" s="49">
        <v>15000</v>
      </c>
      <c r="D9" s="49">
        <v>4138.3999999999996</v>
      </c>
      <c r="E9" s="49">
        <v>15000</v>
      </c>
      <c r="F9" s="49">
        <v>28363.64</v>
      </c>
      <c r="G9" s="49">
        <v>2500</v>
      </c>
      <c r="H9" s="49">
        <v>11224.77</v>
      </c>
    </row>
    <row r="10" spans="1:8" x14ac:dyDescent="0.25">
      <c r="A10" t="s">
        <v>594</v>
      </c>
      <c r="B10" t="s">
        <v>152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49">
        <v>13</v>
      </c>
    </row>
    <row r="11" spans="1:8" x14ac:dyDescent="0.25">
      <c r="A11" s="24" t="s">
        <v>681</v>
      </c>
      <c r="B11" s="24" t="s">
        <v>682</v>
      </c>
      <c r="C11" s="49">
        <v>0</v>
      </c>
      <c r="D11" s="49">
        <v>119.34</v>
      </c>
      <c r="E11" s="49">
        <v>0</v>
      </c>
      <c r="F11" s="49">
        <v>-97.11</v>
      </c>
      <c r="G11" s="49">
        <v>0</v>
      </c>
      <c r="H11" s="49">
        <v>-130.37</v>
      </c>
    </row>
    <row r="12" spans="1:8" x14ac:dyDescent="0.25">
      <c r="A12" s="24" t="s">
        <v>558</v>
      </c>
      <c r="B12" s="24" t="s">
        <v>1176</v>
      </c>
      <c r="C12" s="49">
        <v>9091</v>
      </c>
      <c r="D12" s="49">
        <v>0</v>
      </c>
      <c r="E12" s="49">
        <v>9091</v>
      </c>
      <c r="F12" s="49">
        <v>0</v>
      </c>
      <c r="G12" s="49">
        <v>9091.4</v>
      </c>
      <c r="H12" s="49">
        <v>9091.4</v>
      </c>
    </row>
    <row r="13" spans="1:8" x14ac:dyDescent="0.25">
      <c r="A13" s="10" t="s">
        <v>558</v>
      </c>
      <c r="B13" s="24" t="s">
        <v>684</v>
      </c>
      <c r="C13" s="49">
        <v>18000</v>
      </c>
      <c r="D13" s="49">
        <v>30179.51</v>
      </c>
      <c r="E13" s="35">
        <v>18000</v>
      </c>
      <c r="F13" s="49">
        <v>16275.67</v>
      </c>
      <c r="G13" s="49">
        <v>0</v>
      </c>
      <c r="H13" s="49">
        <v>16949</v>
      </c>
    </row>
    <row r="14" spans="1:8" x14ac:dyDescent="0.25">
      <c r="A14" s="24" t="s">
        <v>683</v>
      </c>
      <c r="B14" s="24" t="s">
        <v>662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1:8" x14ac:dyDescent="0.25">
      <c r="A15" s="24"/>
      <c r="B15" s="24" t="s">
        <v>1120</v>
      </c>
      <c r="C15" s="49">
        <v>0</v>
      </c>
      <c r="D15" s="49">
        <v>0</v>
      </c>
      <c r="E15" s="49">
        <v>0</v>
      </c>
      <c r="F15" s="49">
        <v>0</v>
      </c>
      <c r="G15" s="49"/>
      <c r="H15" s="49">
        <v>75000</v>
      </c>
    </row>
    <row r="16" spans="1:8" x14ac:dyDescent="0.25">
      <c r="A16" s="24"/>
      <c r="B16" s="24" t="s">
        <v>1121</v>
      </c>
      <c r="C16" s="49">
        <v>0</v>
      </c>
      <c r="D16" s="49">
        <v>0</v>
      </c>
      <c r="E16" s="49">
        <v>0</v>
      </c>
      <c r="F16" s="49">
        <v>0</v>
      </c>
      <c r="G16" s="49"/>
      <c r="H16" s="49">
        <v>176231</v>
      </c>
    </row>
    <row r="17" spans="1:8" x14ac:dyDescent="0.25">
      <c r="A17" s="24"/>
      <c r="B17" s="24" t="s">
        <v>941</v>
      </c>
      <c r="C17" s="49">
        <v>179323</v>
      </c>
      <c r="D17" s="49">
        <v>0</v>
      </c>
      <c r="E17" s="35">
        <v>71376</v>
      </c>
      <c r="F17" s="49">
        <v>0</v>
      </c>
      <c r="G17" s="49">
        <v>144800</v>
      </c>
      <c r="H17" s="49">
        <v>0</v>
      </c>
    </row>
    <row r="18" spans="1:8" x14ac:dyDescent="0.25">
      <c r="A18" s="24"/>
      <c r="B18" s="24" t="s">
        <v>1200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286526.61</v>
      </c>
    </row>
    <row r="19" spans="1:8" x14ac:dyDescent="0.25">
      <c r="C19" s="9"/>
      <c r="D19" s="9"/>
      <c r="E19" s="9"/>
      <c r="F19" s="9"/>
      <c r="G19" s="9"/>
      <c r="H19" s="9"/>
    </row>
    <row r="20" spans="1:8" x14ac:dyDescent="0.25">
      <c r="B20" s="22" t="s">
        <v>57</v>
      </c>
      <c r="C20" s="21">
        <f>SUM(C4:C18)</f>
        <v>1944252</v>
      </c>
      <c r="D20" s="21">
        <f>SUM(D4:D18)</f>
        <v>1348961.22</v>
      </c>
      <c r="E20" s="21">
        <f>SUM(E4:E18)</f>
        <v>1836304.9768000001</v>
      </c>
      <c r="F20" s="21">
        <f>SUM(F5:F17)</f>
        <v>1666547.7199999997</v>
      </c>
      <c r="G20" s="21" t="e">
        <f>SUM(G5:G17)</f>
        <v>#REF!</v>
      </c>
      <c r="H20" s="21">
        <f>SUM(H4:H19)</f>
        <v>2303926.0299999993</v>
      </c>
    </row>
    <row r="21" spans="1:8" x14ac:dyDescent="0.25">
      <c r="A21" t="s">
        <v>77</v>
      </c>
      <c r="C21" s="9"/>
      <c r="D21" s="9"/>
      <c r="E21" s="9"/>
      <c r="F21" s="9"/>
      <c r="G21" s="9"/>
    </row>
    <row r="22" spans="1:8" x14ac:dyDescent="0.25">
      <c r="A22" t="s">
        <v>190</v>
      </c>
      <c r="C22" s="9"/>
      <c r="D22" s="9"/>
      <c r="E22" s="9"/>
      <c r="F22" s="9"/>
      <c r="G22" s="9"/>
    </row>
    <row r="23" spans="1:8" x14ac:dyDescent="0.25">
      <c r="A23" t="s">
        <v>346</v>
      </c>
      <c r="B23" t="s">
        <v>96</v>
      </c>
      <c r="C23" s="9">
        <f>81598+29138.5</f>
        <v>110736.5</v>
      </c>
      <c r="D23" s="9">
        <v>66975.3</v>
      </c>
      <c r="E23" s="9">
        <v>77812.800000000003</v>
      </c>
      <c r="F23" s="9">
        <v>77145.88</v>
      </c>
      <c r="G23" s="9">
        <f>35.61*2080</f>
        <v>74068.800000000003</v>
      </c>
      <c r="H23" s="9">
        <v>72851.27</v>
      </c>
    </row>
    <row r="24" spans="1:8" x14ac:dyDescent="0.25">
      <c r="A24" t="s">
        <v>347</v>
      </c>
      <c r="B24" t="s">
        <v>97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x14ac:dyDescent="0.25">
      <c r="A25" s="24" t="s">
        <v>676</v>
      </c>
      <c r="B25" s="24" t="s">
        <v>643</v>
      </c>
      <c r="C25" s="49">
        <v>3000</v>
      </c>
      <c r="D25" s="49">
        <v>2689.45</v>
      </c>
      <c r="E25" s="49">
        <v>3000</v>
      </c>
      <c r="F25" s="49">
        <v>3384.42</v>
      </c>
      <c r="G25" s="49">
        <v>3000</v>
      </c>
      <c r="H25" s="49">
        <v>3493.75</v>
      </c>
    </row>
    <row r="26" spans="1:8" x14ac:dyDescent="0.25">
      <c r="A26" t="s">
        <v>186</v>
      </c>
      <c r="C26" s="9"/>
      <c r="D26" s="9"/>
      <c r="E26" s="9"/>
      <c r="F26" s="9"/>
      <c r="G26" s="9"/>
      <c r="H26" s="9"/>
    </row>
    <row r="27" spans="1:8" x14ac:dyDescent="0.25">
      <c r="A27" t="s">
        <v>348</v>
      </c>
      <c r="B27" t="s">
        <v>188</v>
      </c>
      <c r="C27" s="9">
        <f>0.075*SUM(C23:C25)</f>
        <v>8530.2374999999993</v>
      </c>
      <c r="D27" s="9">
        <v>5462.73</v>
      </c>
      <c r="E27" s="9">
        <f>0.075*SUM(E23:E25)</f>
        <v>6060.96</v>
      </c>
      <c r="F27" s="9">
        <v>5906.11</v>
      </c>
      <c r="G27" s="9">
        <f>0.075*SUM(G23:G25)</f>
        <v>5780.16</v>
      </c>
      <c r="H27" s="9">
        <v>5695.54</v>
      </c>
    </row>
    <row r="28" spans="1:8" x14ac:dyDescent="0.25">
      <c r="A28" t="s">
        <v>349</v>
      </c>
      <c r="B28" t="s">
        <v>80</v>
      </c>
      <c r="C28" s="9">
        <f>0.062*SUM(C23:C25)</f>
        <v>7051.6629999999996</v>
      </c>
      <c r="D28" s="9">
        <v>4515.72</v>
      </c>
      <c r="E28" s="9">
        <f>0.062*SUM(E23:E25)</f>
        <v>5010.3936000000003</v>
      </c>
      <c r="F28" s="9">
        <v>4882.34</v>
      </c>
      <c r="G28" s="9">
        <f>0.062*SUM(G23:G25)</f>
        <v>4778.2655999999997</v>
      </c>
      <c r="H28" s="9">
        <v>4708.3599999999997</v>
      </c>
    </row>
    <row r="29" spans="1:8" x14ac:dyDescent="0.25">
      <c r="A29" t="s">
        <v>350</v>
      </c>
      <c r="B29" t="s">
        <v>82</v>
      </c>
      <c r="C29" s="9">
        <f>0.0145*SUM(C23:C25)</f>
        <v>1649.1792500000001</v>
      </c>
      <c r="D29" s="9">
        <v>1056.06</v>
      </c>
      <c r="E29" s="9">
        <f>0.0145*SUM(E23:E25)</f>
        <v>1171.7856000000002</v>
      </c>
      <c r="F29" s="9">
        <v>1141.92</v>
      </c>
      <c r="G29" s="9">
        <f>0.0145*SUM(G23:G25)</f>
        <v>1117.4976000000001</v>
      </c>
      <c r="H29" s="9">
        <v>1101.26</v>
      </c>
    </row>
    <row r="30" spans="1:8" x14ac:dyDescent="0.25">
      <c r="A30" t="s">
        <v>1277</v>
      </c>
      <c r="B30" t="s">
        <v>1278</v>
      </c>
      <c r="C30" s="9"/>
      <c r="D30" s="9">
        <v>0</v>
      </c>
      <c r="E30" s="9">
        <v>0</v>
      </c>
      <c r="F30" s="9">
        <v>2253</v>
      </c>
      <c r="G30" s="9">
        <v>0</v>
      </c>
      <c r="H30" s="9">
        <v>0</v>
      </c>
    </row>
    <row r="31" spans="1:8" x14ac:dyDescent="0.25">
      <c r="A31" t="s">
        <v>181</v>
      </c>
      <c r="C31" s="9"/>
      <c r="D31" s="9"/>
      <c r="E31" s="9"/>
      <c r="F31" s="9"/>
      <c r="G31" s="9"/>
      <c r="H31" s="9"/>
    </row>
    <row r="32" spans="1:8" x14ac:dyDescent="0.25">
      <c r="A32" t="s">
        <v>351</v>
      </c>
      <c r="B32" t="s">
        <v>183</v>
      </c>
      <c r="C32" s="9">
        <v>27000</v>
      </c>
      <c r="D32" s="9">
        <v>8125.92</v>
      </c>
      <c r="E32" s="9">
        <v>22800</v>
      </c>
      <c r="F32" s="9">
        <v>8510.8799999999992</v>
      </c>
      <c r="G32" s="9">
        <v>11400</v>
      </c>
      <c r="H32" s="9">
        <v>8253.06</v>
      </c>
    </row>
    <row r="33" spans="1:10" x14ac:dyDescent="0.25">
      <c r="A33" t="s">
        <v>352</v>
      </c>
      <c r="B33" t="s">
        <v>185</v>
      </c>
      <c r="C33" s="9">
        <f>1020+510</f>
        <v>1530</v>
      </c>
      <c r="D33" s="9">
        <v>731.07</v>
      </c>
      <c r="E33" s="9">
        <v>795</v>
      </c>
      <c r="F33" s="9">
        <v>769.14</v>
      </c>
      <c r="G33" s="9">
        <v>765</v>
      </c>
      <c r="H33" s="9">
        <v>741.99</v>
      </c>
    </row>
    <row r="34" spans="1:10" x14ac:dyDescent="0.25">
      <c r="A34" t="s">
        <v>42</v>
      </c>
      <c r="C34" s="9"/>
      <c r="D34" s="9"/>
      <c r="E34" s="9"/>
      <c r="F34" s="9"/>
      <c r="G34" s="9"/>
      <c r="H34" s="9"/>
    </row>
    <row r="35" spans="1:10" x14ac:dyDescent="0.25">
      <c r="A35" t="s">
        <v>353</v>
      </c>
      <c r="B35" t="s">
        <v>180</v>
      </c>
      <c r="C35" s="9">
        <v>7000</v>
      </c>
      <c r="D35" s="9">
        <v>7035</v>
      </c>
      <c r="E35" s="9">
        <v>7000</v>
      </c>
      <c r="F35" s="9">
        <v>6938</v>
      </c>
      <c r="G35" s="9">
        <v>3200</v>
      </c>
      <c r="H35" s="9">
        <v>3228</v>
      </c>
    </row>
    <row r="36" spans="1:10" x14ac:dyDescent="0.25">
      <c r="A36" s="10" t="s">
        <v>32</v>
      </c>
      <c r="C36" s="9"/>
      <c r="D36" s="9"/>
      <c r="E36" s="9"/>
      <c r="F36" s="9"/>
      <c r="G36" s="9"/>
      <c r="H36" s="9"/>
    </row>
    <row r="37" spans="1:10" x14ac:dyDescent="0.25">
      <c r="A37" t="s">
        <v>354</v>
      </c>
      <c r="B37" t="s">
        <v>35</v>
      </c>
      <c r="C37" s="9">
        <v>1500</v>
      </c>
      <c r="D37" s="9">
        <v>1653.98</v>
      </c>
      <c r="E37" s="9">
        <v>1500</v>
      </c>
      <c r="F37" s="9">
        <v>1350.1</v>
      </c>
      <c r="G37" s="9">
        <v>1500</v>
      </c>
      <c r="H37" s="9">
        <v>1076.33</v>
      </c>
    </row>
    <row r="38" spans="1:10" x14ac:dyDescent="0.25">
      <c r="A38" t="s">
        <v>355</v>
      </c>
      <c r="B38" t="s">
        <v>36</v>
      </c>
      <c r="C38" s="9">
        <v>1000</v>
      </c>
      <c r="D38" s="9">
        <v>838.39</v>
      </c>
      <c r="E38" s="9">
        <v>1000</v>
      </c>
      <c r="F38" s="9">
        <v>95.42</v>
      </c>
      <c r="G38" s="9">
        <v>1000</v>
      </c>
      <c r="H38" s="9">
        <v>1625.79</v>
      </c>
    </row>
    <row r="39" spans="1:10" x14ac:dyDescent="0.25">
      <c r="A39" t="s">
        <v>356</v>
      </c>
      <c r="B39" t="s">
        <v>41</v>
      </c>
      <c r="C39" s="9">
        <v>600</v>
      </c>
      <c r="D39" s="9">
        <v>245.61</v>
      </c>
      <c r="E39" s="9">
        <v>600</v>
      </c>
      <c r="F39" s="9">
        <v>323.72000000000003</v>
      </c>
      <c r="G39" s="9">
        <v>600</v>
      </c>
      <c r="H39" s="9">
        <v>379.64</v>
      </c>
    </row>
    <row r="40" spans="1:10" x14ac:dyDescent="0.25">
      <c r="A40" t="s">
        <v>147</v>
      </c>
      <c r="C40" s="9"/>
      <c r="D40" s="9"/>
      <c r="E40" s="9"/>
      <c r="F40" s="9"/>
      <c r="G40" s="9"/>
      <c r="H40" s="9"/>
    </row>
    <row r="41" spans="1:10" x14ac:dyDescent="0.25">
      <c r="A41" t="s">
        <v>357</v>
      </c>
      <c r="B41" t="s">
        <v>150</v>
      </c>
      <c r="C41" s="9">
        <v>1500</v>
      </c>
      <c r="D41" s="9">
        <v>315.69</v>
      </c>
      <c r="E41" s="9">
        <v>1500</v>
      </c>
      <c r="F41" s="9">
        <v>652.84</v>
      </c>
      <c r="G41" s="9">
        <v>1500</v>
      </c>
      <c r="H41" s="9">
        <v>750.01</v>
      </c>
    </row>
    <row r="42" spans="1:10" x14ac:dyDescent="0.25">
      <c r="A42" t="s">
        <v>358</v>
      </c>
      <c r="B42" t="s">
        <v>31</v>
      </c>
      <c r="C42" s="9">
        <v>5000</v>
      </c>
      <c r="D42" s="9">
        <v>16440.169999999998</v>
      </c>
      <c r="E42" s="9">
        <v>5000</v>
      </c>
      <c r="F42" s="9">
        <v>14375.7</v>
      </c>
      <c r="G42" s="9">
        <v>6000</v>
      </c>
      <c r="H42" s="9">
        <v>11670.93</v>
      </c>
    </row>
    <row r="43" spans="1:10" x14ac:dyDescent="0.25">
      <c r="A43" t="s">
        <v>23</v>
      </c>
      <c r="C43" s="9"/>
      <c r="D43" s="9"/>
      <c r="E43" s="9"/>
      <c r="F43" s="9"/>
      <c r="G43" s="9"/>
      <c r="H43" s="9"/>
    </row>
    <row r="44" spans="1:10" x14ac:dyDescent="0.25">
      <c r="A44" t="s">
        <v>359</v>
      </c>
      <c r="B44" t="s">
        <v>139</v>
      </c>
      <c r="C44" s="9">
        <v>6000</v>
      </c>
      <c r="D44" s="9">
        <v>7345.27</v>
      </c>
      <c r="E44" s="9">
        <v>6000</v>
      </c>
      <c r="F44" s="9">
        <v>17979.64</v>
      </c>
      <c r="G44" s="9">
        <v>8000</v>
      </c>
      <c r="H44" s="9">
        <v>21314.02</v>
      </c>
    </row>
    <row r="45" spans="1:10" x14ac:dyDescent="0.25">
      <c r="A45" s="24" t="s">
        <v>1383</v>
      </c>
      <c r="B45" s="24" t="s">
        <v>1018</v>
      </c>
      <c r="C45" s="9">
        <v>0</v>
      </c>
      <c r="D45" s="9">
        <v>514.19000000000005</v>
      </c>
      <c r="E45" s="9">
        <v>0</v>
      </c>
      <c r="F45" s="9">
        <v>0</v>
      </c>
      <c r="G45" s="9">
        <v>0</v>
      </c>
      <c r="H45" s="9">
        <v>0</v>
      </c>
    </row>
    <row r="46" spans="1:10" x14ac:dyDescent="0.25">
      <c r="A46" t="s">
        <v>360</v>
      </c>
      <c r="B46" t="s">
        <v>145</v>
      </c>
      <c r="C46" s="9">
        <v>500</v>
      </c>
      <c r="D46" s="9">
        <v>210</v>
      </c>
      <c r="E46" s="9">
        <v>500</v>
      </c>
      <c r="F46" s="9">
        <f>150+210</f>
        <v>360</v>
      </c>
      <c r="G46" s="9">
        <v>1000</v>
      </c>
      <c r="H46" s="9">
        <v>0</v>
      </c>
    </row>
    <row r="47" spans="1:10" x14ac:dyDescent="0.25">
      <c r="A47" t="s">
        <v>361</v>
      </c>
      <c r="B47" t="s">
        <v>146</v>
      </c>
      <c r="C47" s="9">
        <v>500</v>
      </c>
      <c r="D47" s="9">
        <v>42.18</v>
      </c>
      <c r="E47" s="9">
        <v>500</v>
      </c>
      <c r="F47" s="9">
        <v>695.09</v>
      </c>
      <c r="G47" s="9">
        <v>500</v>
      </c>
      <c r="H47" s="9">
        <v>127.99</v>
      </c>
      <c r="J47" s="24"/>
    </row>
    <row r="48" spans="1:10" x14ac:dyDescent="0.25">
      <c r="A48" t="s">
        <v>6</v>
      </c>
      <c r="C48" s="9"/>
      <c r="D48" s="9"/>
      <c r="E48" s="9"/>
      <c r="F48" s="9"/>
      <c r="G48" s="9"/>
      <c r="H48" s="9"/>
    </row>
    <row r="49" spans="1:8" x14ac:dyDescent="0.25">
      <c r="A49" t="s">
        <v>362</v>
      </c>
      <c r="B49" t="s">
        <v>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x14ac:dyDescent="0.25">
      <c r="A50" t="s">
        <v>363</v>
      </c>
      <c r="B50" t="s">
        <v>10</v>
      </c>
      <c r="C50" s="9">
        <v>5000</v>
      </c>
      <c r="D50" s="9">
        <v>216.45</v>
      </c>
      <c r="E50" s="9">
        <v>5000</v>
      </c>
      <c r="F50" s="9">
        <v>191.3</v>
      </c>
      <c r="G50" s="9">
        <v>5000</v>
      </c>
      <c r="H50" s="9">
        <v>758.05</v>
      </c>
    </row>
    <row r="51" spans="1:8" x14ac:dyDescent="0.25">
      <c r="A51" t="s">
        <v>364</v>
      </c>
      <c r="B51" t="s">
        <v>14</v>
      </c>
      <c r="C51" s="9">
        <v>6000</v>
      </c>
      <c r="D51" s="9">
        <v>15202.5</v>
      </c>
      <c r="E51" s="9">
        <v>6000</v>
      </c>
      <c r="F51" s="9">
        <v>11831.24</v>
      </c>
      <c r="G51" s="9">
        <v>6000</v>
      </c>
      <c r="H51" s="9">
        <v>9379</v>
      </c>
    </row>
    <row r="52" spans="1:8" x14ac:dyDescent="0.25">
      <c r="A52" t="s">
        <v>5</v>
      </c>
      <c r="C52" s="9"/>
      <c r="D52" s="9"/>
      <c r="E52" s="9"/>
      <c r="F52" s="9"/>
      <c r="G52" s="9"/>
      <c r="H52" s="9"/>
    </row>
    <row r="53" spans="1:8" x14ac:dyDescent="0.25">
      <c r="A53" t="s">
        <v>365</v>
      </c>
      <c r="B53" t="s">
        <v>87</v>
      </c>
      <c r="C53" s="9">
        <v>1000</v>
      </c>
      <c r="D53" s="9">
        <v>383.83</v>
      </c>
      <c r="E53" s="9">
        <v>1000</v>
      </c>
      <c r="F53" s="9">
        <v>530.36</v>
      </c>
      <c r="G53" s="9">
        <v>1000</v>
      </c>
      <c r="H53" s="9">
        <v>543.57000000000005</v>
      </c>
    </row>
    <row r="54" spans="1:8" x14ac:dyDescent="0.25">
      <c r="A54" t="s">
        <v>366</v>
      </c>
      <c r="B54" t="s">
        <v>88</v>
      </c>
      <c r="C54" s="9">
        <v>7000</v>
      </c>
      <c r="D54" s="9">
        <v>4510</v>
      </c>
      <c r="E54" s="9">
        <v>7000</v>
      </c>
      <c r="F54" s="9">
        <v>3063.92</v>
      </c>
      <c r="G54" s="9">
        <v>7000</v>
      </c>
      <c r="H54" s="9">
        <v>7051.26</v>
      </c>
    </row>
    <row r="55" spans="1:8" x14ac:dyDescent="0.25">
      <c r="A55" t="s">
        <v>132</v>
      </c>
      <c r="C55" s="9"/>
      <c r="D55" s="9"/>
      <c r="E55" s="9"/>
      <c r="F55" s="9"/>
      <c r="G55" s="9"/>
      <c r="H55" s="9"/>
    </row>
    <row r="56" spans="1:8" x14ac:dyDescent="0.25">
      <c r="A56" s="24" t="s">
        <v>1046</v>
      </c>
      <c r="B56" s="24" t="s">
        <v>135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</row>
    <row r="57" spans="1:8" x14ac:dyDescent="0.25">
      <c r="A57" s="24" t="s">
        <v>774</v>
      </c>
      <c r="B57" s="24" t="s">
        <v>133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</row>
    <row r="58" spans="1:8" x14ac:dyDescent="0.25">
      <c r="A58" t="s">
        <v>126</v>
      </c>
      <c r="C58" s="9"/>
      <c r="D58" s="9"/>
      <c r="E58" s="9"/>
      <c r="F58" s="9"/>
      <c r="G58" s="9"/>
      <c r="H58" s="9"/>
    </row>
    <row r="59" spans="1:8" x14ac:dyDescent="0.25">
      <c r="A59" t="s">
        <v>367</v>
      </c>
      <c r="B59" t="s">
        <v>84</v>
      </c>
      <c r="C59" s="9">
        <v>1000</v>
      </c>
      <c r="D59" s="9">
        <v>967.13</v>
      </c>
      <c r="E59" s="9">
        <v>1000</v>
      </c>
      <c r="F59" s="9">
        <v>663.38</v>
      </c>
      <c r="G59" s="9">
        <v>1000</v>
      </c>
      <c r="H59" s="9">
        <v>769.38</v>
      </c>
    </row>
    <row r="60" spans="1:8" x14ac:dyDescent="0.25">
      <c r="A60" t="s">
        <v>368</v>
      </c>
      <c r="B60" t="s">
        <v>128</v>
      </c>
      <c r="C60" s="9">
        <v>3000</v>
      </c>
      <c r="D60" s="9">
        <v>3304.5</v>
      </c>
      <c r="E60" s="9">
        <v>2500</v>
      </c>
      <c r="F60" s="9">
        <v>2506</v>
      </c>
      <c r="G60" s="9">
        <v>2000</v>
      </c>
      <c r="H60" s="9">
        <v>2348</v>
      </c>
    </row>
    <row r="61" spans="1:8" x14ac:dyDescent="0.25">
      <c r="A61" t="s">
        <v>369</v>
      </c>
      <c r="B61" t="s">
        <v>129</v>
      </c>
      <c r="C61" s="9">
        <v>1000</v>
      </c>
      <c r="D61" s="9">
        <v>1055</v>
      </c>
      <c r="E61" s="9">
        <v>1000</v>
      </c>
      <c r="F61" s="9">
        <v>904</v>
      </c>
      <c r="G61" s="9">
        <v>1000</v>
      </c>
      <c r="H61" s="9">
        <v>912</v>
      </c>
    </row>
    <row r="62" spans="1:8" x14ac:dyDescent="0.25">
      <c r="A62" t="s">
        <v>119</v>
      </c>
      <c r="C62" s="9"/>
      <c r="D62" s="9"/>
      <c r="E62" s="9"/>
      <c r="F62" s="9"/>
      <c r="G62" s="9"/>
      <c r="H62" s="9"/>
    </row>
    <row r="63" spans="1:8" x14ac:dyDescent="0.25">
      <c r="A63" s="24" t="s">
        <v>1094</v>
      </c>
      <c r="B63" s="24" t="s">
        <v>120</v>
      </c>
      <c r="C63" s="49">
        <v>0</v>
      </c>
      <c r="D63" s="49">
        <v>0</v>
      </c>
      <c r="E63" s="49">
        <v>0</v>
      </c>
      <c r="F63" s="49">
        <v>0</v>
      </c>
      <c r="G63" s="9">
        <v>0</v>
      </c>
      <c r="H63" s="9">
        <v>210</v>
      </c>
    </row>
    <row r="64" spans="1:8" x14ac:dyDescent="0.25">
      <c r="A64" t="s">
        <v>636</v>
      </c>
      <c r="B64" t="s">
        <v>122</v>
      </c>
      <c r="C64" s="9">
        <v>8000</v>
      </c>
      <c r="D64" s="9">
        <v>2918.14</v>
      </c>
      <c r="E64" s="9">
        <v>8000</v>
      </c>
      <c r="F64" s="9">
        <v>4786.53</v>
      </c>
      <c r="G64" s="9">
        <v>8000</v>
      </c>
      <c r="H64" s="9">
        <v>4710.1499999999996</v>
      </c>
    </row>
    <row r="65" spans="1:8" x14ac:dyDescent="0.25">
      <c r="A65" s="24" t="s">
        <v>654</v>
      </c>
      <c r="B65" s="24" t="s">
        <v>123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</row>
    <row r="66" spans="1:8" x14ac:dyDescent="0.25">
      <c r="A66" s="24" t="s">
        <v>1078</v>
      </c>
      <c r="B66" s="24" t="s">
        <v>106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7301</v>
      </c>
    </row>
    <row r="67" spans="1:8" x14ac:dyDescent="0.25">
      <c r="A67" t="s">
        <v>483</v>
      </c>
      <c r="C67" s="9"/>
      <c r="D67" s="9"/>
      <c r="E67" s="9"/>
      <c r="F67" s="9"/>
      <c r="G67" s="9"/>
      <c r="H67" s="9"/>
    </row>
    <row r="68" spans="1:8" x14ac:dyDescent="0.25">
      <c r="A68" s="24" t="s">
        <v>569</v>
      </c>
      <c r="B68" s="24" t="s">
        <v>992</v>
      </c>
      <c r="C68" s="49">
        <v>26000</v>
      </c>
      <c r="D68" s="49">
        <v>24111.79</v>
      </c>
      <c r="E68" s="49">
        <v>26000</v>
      </c>
      <c r="F68" s="49">
        <v>24715</v>
      </c>
      <c r="G68" s="49">
        <v>30000</v>
      </c>
      <c r="H68" s="49">
        <v>25233.200000000001</v>
      </c>
    </row>
    <row r="69" spans="1:8" x14ac:dyDescent="0.25">
      <c r="A69" t="s">
        <v>569</v>
      </c>
      <c r="B69" t="s">
        <v>484</v>
      </c>
      <c r="C69" s="9">
        <v>522900</v>
      </c>
      <c r="D69" s="9">
        <v>459500</v>
      </c>
      <c r="E69" s="9">
        <v>459500</v>
      </c>
      <c r="F69" s="9">
        <v>531700</v>
      </c>
      <c r="G69" s="9">
        <v>531700</v>
      </c>
      <c r="H69" s="9">
        <v>160000</v>
      </c>
    </row>
    <row r="70" spans="1:8" x14ac:dyDescent="0.25">
      <c r="A70" s="24" t="s">
        <v>569</v>
      </c>
      <c r="B70" s="24" t="s">
        <v>1079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9">
        <v>0</v>
      </c>
    </row>
    <row r="71" spans="1:8" x14ac:dyDescent="0.25">
      <c r="A71" s="24" t="s">
        <v>1279</v>
      </c>
      <c r="B71" s="24" t="s">
        <v>1280</v>
      </c>
      <c r="C71" s="49">
        <v>0</v>
      </c>
      <c r="D71" s="49">
        <v>0</v>
      </c>
      <c r="E71" s="49">
        <v>0</v>
      </c>
      <c r="F71" s="49">
        <v>24850</v>
      </c>
      <c r="G71" s="49"/>
      <c r="H71" s="9"/>
    </row>
    <row r="72" spans="1:8" x14ac:dyDescent="0.25">
      <c r="A72" s="24" t="s">
        <v>490</v>
      </c>
      <c r="C72" s="9"/>
      <c r="D72" s="9"/>
      <c r="E72" s="9"/>
      <c r="F72" s="9"/>
      <c r="G72" s="9"/>
      <c r="H72" s="9"/>
    </row>
    <row r="73" spans="1:8" x14ac:dyDescent="0.25">
      <c r="A73" s="24" t="s">
        <v>642</v>
      </c>
      <c r="B73" s="24" t="s">
        <v>111</v>
      </c>
      <c r="C73" s="49">
        <v>8000</v>
      </c>
      <c r="D73" s="49">
        <v>0</v>
      </c>
      <c r="E73" s="49">
        <v>0</v>
      </c>
      <c r="F73" s="49">
        <v>599</v>
      </c>
      <c r="G73" s="49">
        <v>12000</v>
      </c>
      <c r="H73" s="49">
        <v>0</v>
      </c>
    </row>
    <row r="74" spans="1:8" x14ac:dyDescent="0.25">
      <c r="A74" s="24" t="s">
        <v>1047</v>
      </c>
      <c r="C74" s="9"/>
      <c r="D74" s="9"/>
      <c r="E74" s="9"/>
      <c r="F74" s="9"/>
      <c r="G74" s="9"/>
      <c r="H74" s="9"/>
    </row>
    <row r="75" spans="1:8" x14ac:dyDescent="0.25">
      <c r="A75" s="24" t="s">
        <v>1048</v>
      </c>
      <c r="B75" s="24" t="s">
        <v>193</v>
      </c>
      <c r="C75" s="49">
        <v>0</v>
      </c>
      <c r="D75" s="49">
        <v>0</v>
      </c>
      <c r="E75" s="49">
        <v>0</v>
      </c>
      <c r="F75" s="49">
        <v>1496</v>
      </c>
      <c r="G75" s="49">
        <v>0</v>
      </c>
      <c r="H75" s="49">
        <v>1958.35</v>
      </c>
    </row>
    <row r="76" spans="1:8" x14ac:dyDescent="0.25">
      <c r="A76" t="s">
        <v>114</v>
      </c>
      <c r="C76" s="9"/>
      <c r="D76" s="9"/>
      <c r="E76" s="9"/>
      <c r="F76" s="9"/>
      <c r="G76" s="9"/>
      <c r="H76" s="9"/>
    </row>
    <row r="77" spans="1:8" x14ac:dyDescent="0.25">
      <c r="A77" t="s">
        <v>567</v>
      </c>
      <c r="B77" t="s">
        <v>115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92965</v>
      </c>
    </row>
    <row r="78" spans="1:8" x14ac:dyDescent="0.25">
      <c r="A78" t="s">
        <v>370</v>
      </c>
      <c r="B78" t="s">
        <v>117</v>
      </c>
      <c r="C78" s="9">
        <v>30000</v>
      </c>
      <c r="D78" s="9">
        <v>0</v>
      </c>
      <c r="E78" s="9">
        <v>40000</v>
      </c>
      <c r="F78" s="9">
        <v>7668.5</v>
      </c>
      <c r="G78" s="9">
        <v>5000</v>
      </c>
      <c r="H78" s="9">
        <v>0</v>
      </c>
    </row>
    <row r="79" spans="1:8" x14ac:dyDescent="0.25">
      <c r="A79" s="24" t="s">
        <v>675</v>
      </c>
      <c r="B79" s="24" t="s">
        <v>111</v>
      </c>
      <c r="C79" s="49">
        <v>4000</v>
      </c>
      <c r="D79" s="49">
        <v>5667.84</v>
      </c>
      <c r="E79" s="49">
        <v>4000</v>
      </c>
      <c r="F79" s="49">
        <v>5002.1400000000003</v>
      </c>
      <c r="G79" s="49">
        <v>4000</v>
      </c>
      <c r="H79" s="49">
        <v>4674.1899999999996</v>
      </c>
    </row>
    <row r="80" spans="1:8" x14ac:dyDescent="0.25">
      <c r="A80" s="24" t="s">
        <v>1240</v>
      </c>
      <c r="B80" s="24" t="s">
        <v>112</v>
      </c>
      <c r="C80" s="49">
        <v>3200</v>
      </c>
      <c r="D80" s="49">
        <v>662</v>
      </c>
      <c r="E80" s="49">
        <v>0</v>
      </c>
      <c r="F80" s="49">
        <v>7950</v>
      </c>
      <c r="G80" s="49">
        <v>0</v>
      </c>
      <c r="H80" s="49">
        <v>0</v>
      </c>
    </row>
    <row r="81" spans="1:9" x14ac:dyDescent="0.25">
      <c r="A81" t="s">
        <v>105</v>
      </c>
      <c r="C81" s="9"/>
      <c r="D81" s="9"/>
      <c r="E81" s="9"/>
      <c r="F81" s="9"/>
      <c r="G81" s="9"/>
      <c r="H81" s="9"/>
    </row>
    <row r="82" spans="1:9" x14ac:dyDescent="0.25">
      <c r="A82" t="s">
        <v>371</v>
      </c>
      <c r="B82" t="s">
        <v>91</v>
      </c>
      <c r="C82" s="9">
        <v>2000</v>
      </c>
      <c r="D82" s="9">
        <v>4804.93</v>
      </c>
      <c r="E82" s="9">
        <v>2000</v>
      </c>
      <c r="F82" s="9">
        <v>5490.23</v>
      </c>
      <c r="G82" s="9">
        <v>2000</v>
      </c>
      <c r="H82" s="9">
        <v>3882.09</v>
      </c>
    </row>
    <row r="83" spans="1:9" x14ac:dyDescent="0.25">
      <c r="A83" t="s">
        <v>372</v>
      </c>
      <c r="B83" t="s">
        <v>89</v>
      </c>
      <c r="C83" s="9">
        <v>700</v>
      </c>
      <c r="D83" s="9">
        <v>705.54</v>
      </c>
      <c r="E83" s="9">
        <v>700</v>
      </c>
      <c r="F83" s="9">
        <v>862.04</v>
      </c>
      <c r="G83" s="9">
        <v>700</v>
      </c>
      <c r="H83" s="9">
        <v>-1447.28</v>
      </c>
    </row>
    <row r="84" spans="1:9" x14ac:dyDescent="0.25">
      <c r="A84" t="s">
        <v>373</v>
      </c>
      <c r="B84" s="24" t="s">
        <v>106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</row>
    <row r="85" spans="1:9" x14ac:dyDescent="0.25">
      <c r="A85" t="s">
        <v>374</v>
      </c>
      <c r="B85" t="s">
        <v>108</v>
      </c>
      <c r="C85" s="9">
        <v>1132354</v>
      </c>
      <c r="D85" s="9">
        <v>789279.93</v>
      </c>
      <c r="E85" s="9">
        <f>H85*1.04</f>
        <v>1132353.6640000001</v>
      </c>
      <c r="F85" s="9">
        <v>1055662.93</v>
      </c>
      <c r="G85" s="9" t="e">
        <f>1.04*#REF!</f>
        <v>#REF!</v>
      </c>
      <c r="H85" s="9">
        <v>1088801.6000000001</v>
      </c>
    </row>
    <row r="86" spans="1:9" x14ac:dyDescent="0.25">
      <c r="B86" s="24"/>
      <c r="C86" s="49"/>
      <c r="D86" s="49"/>
      <c r="E86" s="49"/>
      <c r="F86" s="49"/>
      <c r="G86" s="49"/>
      <c r="H86" s="49"/>
      <c r="I86" s="24"/>
    </row>
    <row r="87" spans="1:9" x14ac:dyDescent="0.25">
      <c r="B87" t="s">
        <v>57</v>
      </c>
      <c r="C87" s="9">
        <f>SUM(C23:C85)</f>
        <v>1944251.57975</v>
      </c>
      <c r="D87" s="9">
        <f t="shared" ref="D87:H87" si="0">SUM(D23:D85)</f>
        <v>1437486.31</v>
      </c>
      <c r="E87" s="9">
        <f t="shared" si="0"/>
        <v>1836304.6032000002</v>
      </c>
      <c r="F87" s="9">
        <f t="shared" si="0"/>
        <v>1837236.77</v>
      </c>
      <c r="G87" s="9" t="e">
        <f t="shared" si="0"/>
        <v>#REF!</v>
      </c>
      <c r="H87" s="9">
        <f t="shared" si="0"/>
        <v>1547067.5</v>
      </c>
    </row>
    <row r="88" spans="1:9" x14ac:dyDescent="0.25">
      <c r="A88" s="10"/>
      <c r="C88" s="9"/>
    </row>
    <row r="89" spans="1:9" x14ac:dyDescent="0.25">
      <c r="B89" s="43" t="s">
        <v>777</v>
      </c>
      <c r="C89" s="79"/>
      <c r="D89" s="49">
        <v>188984</v>
      </c>
      <c r="F89" s="49">
        <v>175917.01</v>
      </c>
      <c r="G89" s="43"/>
      <c r="H89" s="43"/>
    </row>
    <row r="92" spans="1:9" x14ac:dyDescent="0.25">
      <c r="A92" s="110" t="s">
        <v>1049</v>
      </c>
    </row>
    <row r="93" spans="1:9" x14ac:dyDescent="0.25">
      <c r="A93" s="24" t="s">
        <v>1124</v>
      </c>
      <c r="B93" s="21">
        <v>40000</v>
      </c>
      <c r="C93" s="21"/>
      <c r="D93" s="21"/>
      <c r="E93" s="21"/>
      <c r="F93" s="21"/>
      <c r="G93" s="131"/>
      <c r="H93" s="73"/>
    </row>
    <row r="94" spans="1:9" x14ac:dyDescent="0.25">
      <c r="A94" s="24"/>
    </row>
    <row r="95" spans="1:9" x14ac:dyDescent="0.25">
      <c r="A95" s="110" t="s">
        <v>1109</v>
      </c>
    </row>
    <row r="96" spans="1:9" x14ac:dyDescent="0.25">
      <c r="A96" s="24" t="s">
        <v>1101</v>
      </c>
      <c r="B96" s="9">
        <v>5000</v>
      </c>
      <c r="C96" s="9"/>
      <c r="D96" s="9"/>
      <c r="E96" s="9"/>
      <c r="F96" s="9"/>
    </row>
    <row r="97" spans="1:6" x14ac:dyDescent="0.25">
      <c r="A97" s="126" t="s">
        <v>1122</v>
      </c>
      <c r="B97" s="143">
        <v>5000</v>
      </c>
      <c r="C97" s="143"/>
      <c r="D97" s="9"/>
      <c r="E97" s="9"/>
      <c r="F97" s="9"/>
    </row>
    <row r="98" spans="1:6" x14ac:dyDescent="0.25">
      <c r="A98" s="126" t="s">
        <v>1123</v>
      </c>
      <c r="B98" s="143">
        <v>2000</v>
      </c>
      <c r="C98" s="143"/>
      <c r="D98" s="9"/>
      <c r="E98" s="9"/>
      <c r="F98" s="9"/>
    </row>
    <row r="99" spans="1:6" x14ac:dyDescent="0.25">
      <c r="A99" s="126" t="s">
        <v>1132</v>
      </c>
      <c r="B99" s="143">
        <v>2500</v>
      </c>
      <c r="C99" s="143"/>
      <c r="D99" s="9"/>
      <c r="E99" s="9"/>
      <c r="F99" s="9"/>
    </row>
    <row r="101" spans="1:6" x14ac:dyDescent="0.25">
      <c r="A101" s="110" t="s">
        <v>1125</v>
      </c>
    </row>
    <row r="102" spans="1:6" x14ac:dyDescent="0.25">
      <c r="A102" s="24" t="s">
        <v>1217</v>
      </c>
      <c r="B102" s="26" t="s">
        <v>1201</v>
      </c>
      <c r="C102" s="26"/>
      <c r="D102" s="26"/>
    </row>
    <row r="103" spans="1:6" x14ac:dyDescent="0.25">
      <c r="A103" s="36" t="s">
        <v>1218</v>
      </c>
    </row>
    <row r="104" spans="1:6" x14ac:dyDescent="0.25">
      <c r="A104" s="24" t="s">
        <v>1219</v>
      </c>
      <c r="B104" s="139">
        <v>40000</v>
      </c>
      <c r="C104" s="139"/>
      <c r="D104" s="139"/>
    </row>
    <row r="105" spans="1:6" x14ac:dyDescent="0.25">
      <c r="A105" s="14" t="s">
        <v>1220</v>
      </c>
    </row>
    <row r="108" spans="1:6" x14ac:dyDescent="0.25">
      <c r="A108" s="110" t="s">
        <v>1273</v>
      </c>
    </row>
    <row r="109" spans="1:6" x14ac:dyDescent="0.25">
      <c r="A109" s="24" t="s">
        <v>1344</v>
      </c>
      <c r="B109" s="9">
        <v>5000</v>
      </c>
      <c r="C109" s="9"/>
    </row>
    <row r="110" spans="1:6" x14ac:dyDescent="0.25">
      <c r="A110" s="24" t="s">
        <v>1346</v>
      </c>
      <c r="B110" s="9">
        <v>30000</v>
      </c>
      <c r="C110" s="9"/>
    </row>
    <row r="111" spans="1:6" x14ac:dyDescent="0.25">
      <c r="A111" s="24" t="s">
        <v>1347</v>
      </c>
      <c r="B111" s="9">
        <v>3200</v>
      </c>
      <c r="C111" s="9"/>
    </row>
    <row r="112" spans="1:6" x14ac:dyDescent="0.25">
      <c r="A112" s="24"/>
    </row>
    <row r="113" spans="1:1" x14ac:dyDescent="0.25">
      <c r="A113" s="110" t="s">
        <v>1281</v>
      </c>
    </row>
    <row r="114" spans="1:1" x14ac:dyDescent="0.25">
      <c r="A114" s="24" t="s">
        <v>1345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workbookViewId="0">
      <selection activeCell="E11" sqref="E11"/>
    </sheetView>
  </sheetViews>
  <sheetFormatPr defaultRowHeight="13.2" x14ac:dyDescent="0.25"/>
  <cols>
    <col min="1" max="1" width="18.33203125" customWidth="1"/>
    <col min="2" max="2" width="27.44140625" customWidth="1"/>
    <col min="3" max="3" width="3.6640625" customWidth="1"/>
    <col min="4" max="5" width="11.6640625" customWidth="1"/>
    <col min="6" max="6" width="11.6640625" style="14" customWidth="1"/>
    <col min="7" max="10" width="11.6640625" customWidth="1"/>
  </cols>
  <sheetData>
    <row r="1" spans="1:10" ht="15.6" x14ac:dyDescent="0.3">
      <c r="B1" s="11" t="s">
        <v>477</v>
      </c>
      <c r="C1" s="11"/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0" x14ac:dyDescent="0.25">
      <c r="D2" s="1" t="s">
        <v>501</v>
      </c>
      <c r="E2" s="1" t="s">
        <v>1179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3" spans="1:10" x14ac:dyDescent="0.25">
      <c r="A3" t="s">
        <v>76</v>
      </c>
      <c r="E3" s="1"/>
      <c r="F3" s="36"/>
      <c r="G3" s="36"/>
      <c r="H3" s="36"/>
      <c r="I3" s="36"/>
      <c r="J3" s="36"/>
    </row>
    <row r="4" spans="1:10" x14ac:dyDescent="0.25">
      <c r="A4" t="s">
        <v>1296</v>
      </c>
      <c r="B4" t="s">
        <v>1297</v>
      </c>
      <c r="D4" s="9">
        <v>0</v>
      </c>
      <c r="E4" s="98">
        <v>2233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</row>
    <row r="5" spans="1:10" x14ac:dyDescent="0.25">
      <c r="A5" s="24" t="s">
        <v>1369</v>
      </c>
      <c r="B5" s="24" t="s">
        <v>781</v>
      </c>
      <c r="D5" s="9">
        <v>0</v>
      </c>
      <c r="E5" s="98">
        <v>696.05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</row>
    <row r="6" spans="1:10" x14ac:dyDescent="0.25">
      <c r="D6" s="9"/>
      <c r="E6" s="98"/>
      <c r="F6" s="98"/>
      <c r="G6" s="98"/>
      <c r="H6" s="98"/>
      <c r="I6" s="98"/>
      <c r="J6" s="98"/>
    </row>
    <row r="7" spans="1:10" x14ac:dyDescent="0.25">
      <c r="B7" s="26" t="s">
        <v>57</v>
      </c>
      <c r="D7" s="9">
        <v>0</v>
      </c>
      <c r="E7" s="98">
        <f>SUM(E4:E6)</f>
        <v>2929.05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</row>
    <row r="8" spans="1:10" x14ac:dyDescent="0.25">
      <c r="D8" s="9"/>
      <c r="E8" s="1"/>
      <c r="F8" s="1"/>
      <c r="G8" s="36"/>
      <c r="H8" s="36"/>
      <c r="I8" s="36"/>
      <c r="J8" s="36"/>
    </row>
    <row r="9" spans="1:10" x14ac:dyDescent="0.25">
      <c r="A9" t="s">
        <v>77</v>
      </c>
      <c r="D9" s="9"/>
      <c r="E9" s="1"/>
      <c r="F9" s="1"/>
      <c r="G9" s="36"/>
      <c r="H9" s="36"/>
      <c r="I9" s="36"/>
      <c r="J9" s="36"/>
    </row>
    <row r="10" spans="1:10" x14ac:dyDescent="0.25">
      <c r="A10" t="s">
        <v>190</v>
      </c>
      <c r="D10" s="9"/>
    </row>
    <row r="11" spans="1:10" x14ac:dyDescent="0.25">
      <c r="A11" t="s">
        <v>176</v>
      </c>
      <c r="B11" t="s">
        <v>177</v>
      </c>
      <c r="D11" s="9">
        <v>0</v>
      </c>
      <c r="E11" s="9">
        <v>3177</v>
      </c>
      <c r="F11" s="136">
        <v>1800</v>
      </c>
      <c r="G11" s="9">
        <v>0</v>
      </c>
      <c r="H11" s="34">
        <v>0</v>
      </c>
      <c r="I11" s="9">
        <f>1694.5+13.13</f>
        <v>1707.63</v>
      </c>
      <c r="J11" s="9">
        <v>1000</v>
      </c>
    </row>
    <row r="12" spans="1:10" x14ac:dyDescent="0.25">
      <c r="A12" t="s">
        <v>479</v>
      </c>
      <c r="D12" s="9"/>
      <c r="E12" s="9"/>
      <c r="F12" s="136"/>
      <c r="G12" s="9"/>
      <c r="H12" s="34"/>
      <c r="I12" s="9"/>
      <c r="J12" s="9"/>
    </row>
    <row r="13" spans="1:10" x14ac:dyDescent="0.25">
      <c r="A13" t="s">
        <v>178</v>
      </c>
      <c r="B13" t="s">
        <v>80</v>
      </c>
      <c r="D13" s="9">
        <v>0</v>
      </c>
      <c r="E13" s="9">
        <v>0</v>
      </c>
      <c r="F13" s="136">
        <v>0</v>
      </c>
      <c r="G13" s="9">
        <v>0</v>
      </c>
      <c r="H13" s="34">
        <v>0</v>
      </c>
      <c r="I13" s="9">
        <v>0</v>
      </c>
      <c r="J13" s="9">
        <v>3</v>
      </c>
    </row>
    <row r="14" spans="1:10" x14ac:dyDescent="0.25">
      <c r="A14" t="s">
        <v>54</v>
      </c>
      <c r="B14" t="s">
        <v>82</v>
      </c>
      <c r="D14" s="9">
        <v>0</v>
      </c>
      <c r="E14" s="9">
        <v>0</v>
      </c>
      <c r="F14" s="136">
        <v>0</v>
      </c>
      <c r="G14" s="9">
        <v>0</v>
      </c>
      <c r="H14" s="34">
        <v>0</v>
      </c>
      <c r="I14" s="9">
        <v>0</v>
      </c>
      <c r="J14" s="9">
        <v>1</v>
      </c>
    </row>
    <row r="15" spans="1:10" x14ac:dyDescent="0.25">
      <c r="A15" s="24" t="s">
        <v>647</v>
      </c>
      <c r="B15" s="24" t="s">
        <v>811</v>
      </c>
      <c r="D15" s="9">
        <v>0</v>
      </c>
      <c r="E15" s="9">
        <v>731.15</v>
      </c>
      <c r="F15" s="136">
        <v>200</v>
      </c>
      <c r="G15" s="9">
        <v>0</v>
      </c>
      <c r="H15" s="34">
        <v>0</v>
      </c>
      <c r="I15" s="9">
        <v>970.11</v>
      </c>
      <c r="J15" s="9">
        <v>500</v>
      </c>
    </row>
    <row r="16" spans="1:10" x14ac:dyDescent="0.25">
      <c r="A16" s="24" t="s">
        <v>1181</v>
      </c>
      <c r="B16" s="24" t="s">
        <v>1182</v>
      </c>
      <c r="D16" s="9">
        <v>0</v>
      </c>
      <c r="E16" s="9">
        <v>0</v>
      </c>
      <c r="F16" s="136">
        <v>300</v>
      </c>
      <c r="G16" s="9">
        <v>0</v>
      </c>
      <c r="H16" s="34">
        <v>0</v>
      </c>
      <c r="I16" s="9">
        <v>260</v>
      </c>
      <c r="J16" s="9">
        <v>0</v>
      </c>
    </row>
    <row r="17" spans="1:10" x14ac:dyDescent="0.25">
      <c r="A17" t="s">
        <v>55</v>
      </c>
      <c r="B17" t="s">
        <v>56</v>
      </c>
      <c r="D17" s="9">
        <v>0</v>
      </c>
      <c r="E17" s="9">
        <v>557.9</v>
      </c>
      <c r="F17" s="136">
        <v>400</v>
      </c>
      <c r="G17" s="9">
        <v>0</v>
      </c>
      <c r="H17" s="34">
        <v>0</v>
      </c>
      <c r="I17" s="9">
        <v>209.4</v>
      </c>
      <c r="J17" s="9">
        <v>196</v>
      </c>
    </row>
    <row r="18" spans="1:10" x14ac:dyDescent="0.25">
      <c r="D18" s="9"/>
      <c r="E18" s="9"/>
      <c r="F18" s="136"/>
      <c r="G18" s="9"/>
      <c r="H18" s="34"/>
      <c r="I18" s="9"/>
      <c r="J18" s="9"/>
    </row>
    <row r="19" spans="1:10" x14ac:dyDescent="0.25">
      <c r="B19" s="22" t="s">
        <v>57</v>
      </c>
      <c r="D19" s="9">
        <f>SUM(D4:D17)</f>
        <v>0</v>
      </c>
      <c r="E19" s="9">
        <f>SUM(E11:E17)</f>
        <v>4466.05</v>
      </c>
      <c r="F19" s="136">
        <f>SUM(F11:F17)</f>
        <v>2700</v>
      </c>
      <c r="G19" s="9">
        <f>SUM(G11:G18)</f>
        <v>0</v>
      </c>
      <c r="H19" s="34">
        <f>SUM(H11:H17)</f>
        <v>0</v>
      </c>
      <c r="I19" s="9">
        <f>SUM(I11:I17)</f>
        <v>3147.1400000000003</v>
      </c>
      <c r="J19" s="100">
        <f>SUM(J11:J18)</f>
        <v>1700</v>
      </c>
    </row>
    <row r="21" spans="1:10" x14ac:dyDescent="0.25">
      <c r="A21" s="24"/>
      <c r="B21" s="24"/>
    </row>
    <row r="23" spans="1:10" x14ac:dyDescent="0.25">
      <c r="A23" s="24"/>
      <c r="B23" s="24"/>
      <c r="C23" s="24"/>
      <c r="D23" s="24"/>
      <c r="E23" s="24"/>
      <c r="F23" s="36"/>
      <c r="G23" s="24"/>
      <c r="H23" s="24"/>
      <c r="I23" s="24"/>
      <c r="J23" s="24"/>
    </row>
    <row r="24" spans="1:10" x14ac:dyDescent="0.25">
      <c r="A24" s="25" t="s">
        <v>1169</v>
      </c>
    </row>
    <row r="25" spans="1:10" x14ac:dyDescent="0.25">
      <c r="A25" t="s">
        <v>834</v>
      </c>
    </row>
    <row r="26" spans="1:10" x14ac:dyDescent="0.25">
      <c r="A26" t="s">
        <v>835</v>
      </c>
    </row>
    <row r="27" spans="1:10" x14ac:dyDescent="0.25">
      <c r="A27" s="24"/>
    </row>
    <row r="28" spans="1:10" x14ac:dyDescent="0.25">
      <c r="A28" s="25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90"/>
  <sheetViews>
    <sheetView topLeftCell="A16" zoomScaleNormal="100" workbookViewId="0">
      <selection activeCell="D25" sqref="D25"/>
    </sheetView>
  </sheetViews>
  <sheetFormatPr defaultRowHeight="13.2" x14ac:dyDescent="0.25"/>
  <cols>
    <col min="1" max="1" width="19.33203125" customWidth="1"/>
    <col min="2" max="2" width="27.44140625" customWidth="1"/>
    <col min="3" max="3" width="5.6640625" customWidth="1"/>
    <col min="4" max="8" width="11.6640625" customWidth="1"/>
    <col min="9" max="9" width="14.44140625" customWidth="1"/>
    <col min="10" max="10" width="11.6640625" customWidth="1"/>
  </cols>
  <sheetData>
    <row r="1" spans="1:10" ht="15.6" x14ac:dyDescent="0.3">
      <c r="B1" s="11" t="s">
        <v>2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0" x14ac:dyDescent="0.25">
      <c r="D2" s="1" t="s">
        <v>501</v>
      </c>
      <c r="E2" s="1" t="s">
        <v>1370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3" spans="1:10" x14ac:dyDescent="0.25">
      <c r="A3" t="s">
        <v>39</v>
      </c>
      <c r="J3" s="24"/>
    </row>
    <row r="4" spans="1:10" x14ac:dyDescent="0.25">
      <c r="A4" s="10" t="s">
        <v>559</v>
      </c>
      <c r="B4" s="10" t="s">
        <v>556</v>
      </c>
      <c r="D4" s="9">
        <v>0</v>
      </c>
      <c r="E4" s="9">
        <v>0</v>
      </c>
      <c r="F4" s="9">
        <v>0</v>
      </c>
      <c r="G4" s="9">
        <v>1200</v>
      </c>
      <c r="H4" s="9">
        <v>0</v>
      </c>
      <c r="I4" s="9">
        <v>0</v>
      </c>
      <c r="J4" s="9">
        <v>0</v>
      </c>
    </row>
    <row r="5" spans="1:10" x14ac:dyDescent="0.25">
      <c r="A5" t="s">
        <v>154</v>
      </c>
      <c r="B5" t="s">
        <v>473</v>
      </c>
      <c r="D5" s="9">
        <v>253458</v>
      </c>
      <c r="E5" s="9">
        <v>195490.65</v>
      </c>
      <c r="F5" s="9">
        <f>I5*1.04</f>
        <v>253458.17120000001</v>
      </c>
      <c r="G5" s="9">
        <f>263515.48+62</f>
        <v>263577.48</v>
      </c>
      <c r="H5" s="9" t="e">
        <f>#REF!*1.04</f>
        <v>#REF!</v>
      </c>
      <c r="I5" s="9">
        <v>243709.78</v>
      </c>
      <c r="J5" s="9" t="e">
        <f>#REF!*1.04</f>
        <v>#REF!</v>
      </c>
    </row>
    <row r="6" spans="1:10" x14ac:dyDescent="0.25">
      <c r="A6" t="s">
        <v>155</v>
      </c>
      <c r="B6" t="s">
        <v>24</v>
      </c>
      <c r="D6" s="9">
        <v>1400</v>
      </c>
      <c r="E6" s="9">
        <v>660.98</v>
      </c>
      <c r="F6" s="9">
        <v>1400</v>
      </c>
      <c r="G6" s="9">
        <v>1081.6300000000001</v>
      </c>
      <c r="H6" s="9">
        <v>1315</v>
      </c>
      <c r="I6" s="9">
        <f>1164.37+285.76</f>
        <v>1450.1299999999999</v>
      </c>
      <c r="J6" s="9" t="e">
        <f>#REF!*1.04</f>
        <v>#REF!</v>
      </c>
    </row>
    <row r="7" spans="1:10" x14ac:dyDescent="0.25">
      <c r="A7" s="24" t="s">
        <v>1282</v>
      </c>
      <c r="B7" s="24" t="s">
        <v>1283</v>
      </c>
      <c r="D7" s="9">
        <v>0</v>
      </c>
      <c r="E7" s="9">
        <v>0</v>
      </c>
      <c r="F7" s="9">
        <v>0</v>
      </c>
      <c r="G7" s="9">
        <v>125</v>
      </c>
      <c r="H7" s="9">
        <v>0</v>
      </c>
      <c r="I7" s="9">
        <v>0</v>
      </c>
      <c r="J7" s="9">
        <v>0</v>
      </c>
    </row>
    <row r="8" spans="1:10" x14ac:dyDescent="0.25">
      <c r="A8" s="24" t="s">
        <v>775</v>
      </c>
      <c r="B8" s="24" t="s">
        <v>680</v>
      </c>
      <c r="D8" s="9">
        <v>1300</v>
      </c>
      <c r="E8" s="9">
        <v>653.1</v>
      </c>
      <c r="F8" s="9">
        <v>1392</v>
      </c>
      <c r="G8" s="9">
        <v>1373.54</v>
      </c>
      <c r="H8" s="9">
        <v>800</v>
      </c>
      <c r="I8" s="9">
        <v>444.45</v>
      </c>
      <c r="J8" s="9">
        <v>800</v>
      </c>
    </row>
    <row r="9" spans="1:10" x14ac:dyDescent="0.25">
      <c r="A9" t="s">
        <v>156</v>
      </c>
      <c r="B9" t="s">
        <v>157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150</v>
      </c>
      <c r="J9" s="9">
        <v>0</v>
      </c>
    </row>
    <row r="10" spans="1:10" x14ac:dyDescent="0.25">
      <c r="A10" s="24" t="s">
        <v>1053</v>
      </c>
      <c r="B10" s="24" t="s">
        <v>1054</v>
      </c>
      <c r="D10" s="9">
        <v>0</v>
      </c>
      <c r="E10" s="9">
        <v>1011025</v>
      </c>
      <c r="F10" s="9">
        <v>1607000</v>
      </c>
      <c r="G10" s="9">
        <v>725</v>
      </c>
      <c r="H10" s="9">
        <v>750000</v>
      </c>
      <c r="I10" s="9">
        <v>0</v>
      </c>
      <c r="J10" s="9">
        <v>750000</v>
      </c>
    </row>
    <row r="11" spans="1:10" x14ac:dyDescent="0.25">
      <c r="B11" s="24" t="s">
        <v>589</v>
      </c>
      <c r="D11" s="135">
        <v>80745</v>
      </c>
      <c r="E11" s="9">
        <v>0</v>
      </c>
      <c r="F11" s="9">
        <v>25000</v>
      </c>
      <c r="G11" s="9">
        <v>0</v>
      </c>
      <c r="H11" s="9">
        <v>238000</v>
      </c>
      <c r="I11" s="9">
        <v>86693.41</v>
      </c>
      <c r="J11" s="9">
        <v>0</v>
      </c>
    </row>
    <row r="12" spans="1:10" x14ac:dyDescent="0.25">
      <c r="B12" s="24" t="s">
        <v>810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x14ac:dyDescent="0.25">
      <c r="D13" s="9"/>
      <c r="E13" s="9"/>
      <c r="F13" s="9"/>
      <c r="G13" s="9"/>
      <c r="H13" s="9"/>
      <c r="I13" s="9"/>
      <c r="J13" s="9"/>
    </row>
    <row r="14" spans="1:10" x14ac:dyDescent="0.25">
      <c r="B14" s="22" t="s">
        <v>57</v>
      </c>
      <c r="D14" s="9">
        <f>SUM(D4:D12)</f>
        <v>336903</v>
      </c>
      <c r="E14" s="9">
        <f>SUM(E4:E12)</f>
        <v>1207829.73</v>
      </c>
      <c r="F14" s="9">
        <f>SUM(F4:F12)</f>
        <v>1888250.1712</v>
      </c>
      <c r="G14" s="9">
        <f>SUM(G4:G12)</f>
        <v>268082.64999999997</v>
      </c>
      <c r="H14" s="9" t="e">
        <f>SUM(H4:H12)</f>
        <v>#REF!</v>
      </c>
      <c r="I14" s="9">
        <f>SUM(I4:I13)</f>
        <v>332447.77</v>
      </c>
      <c r="J14" s="9" t="e">
        <f>SUM(J4:J12)</f>
        <v>#REF!</v>
      </c>
    </row>
    <row r="15" spans="1:10" x14ac:dyDescent="0.25">
      <c r="A15" t="s">
        <v>77</v>
      </c>
      <c r="D15" s="9"/>
      <c r="E15" s="9"/>
      <c r="F15" s="9"/>
      <c r="G15" s="9"/>
      <c r="H15" s="9"/>
      <c r="I15" s="9"/>
      <c r="J15" s="9"/>
    </row>
    <row r="16" spans="1:10" x14ac:dyDescent="0.25">
      <c r="A16" t="s">
        <v>190</v>
      </c>
      <c r="D16" s="9"/>
      <c r="E16" s="9"/>
      <c r="F16" s="9"/>
      <c r="G16" s="9"/>
      <c r="H16" s="9"/>
      <c r="I16" s="9"/>
      <c r="J16" s="9"/>
    </row>
    <row r="17" spans="1:10" x14ac:dyDescent="0.25">
      <c r="A17" t="s">
        <v>375</v>
      </c>
      <c r="B17" t="s">
        <v>96</v>
      </c>
      <c r="D17" s="9">
        <v>28069.599999999999</v>
      </c>
      <c r="E17" s="9">
        <v>22576.95</v>
      </c>
      <c r="F17" s="9">
        <v>26707.200000000001</v>
      </c>
      <c r="G17" s="9">
        <v>27412.240000000002</v>
      </c>
      <c r="H17" s="9">
        <f>(24.68*2080)/2</f>
        <v>25667.200000000001</v>
      </c>
      <c r="I17" s="9">
        <v>25098.16</v>
      </c>
      <c r="J17" s="9">
        <f>23.73*1040</f>
        <v>24679.200000000001</v>
      </c>
    </row>
    <row r="18" spans="1:10" x14ac:dyDescent="0.25">
      <c r="A18" t="s">
        <v>376</v>
      </c>
      <c r="B18" t="s">
        <v>97</v>
      </c>
      <c r="D18" s="9">
        <v>5000</v>
      </c>
      <c r="E18" s="9">
        <v>4245.1000000000004</v>
      </c>
      <c r="F18" s="9">
        <v>5000</v>
      </c>
      <c r="G18" s="9">
        <v>7334.05</v>
      </c>
      <c r="H18" s="9">
        <v>5000</v>
      </c>
      <c r="I18" s="9">
        <v>6544.81</v>
      </c>
      <c r="J18" s="9">
        <v>4000</v>
      </c>
    </row>
    <row r="19" spans="1:10" x14ac:dyDescent="0.25">
      <c r="A19" t="s">
        <v>186</v>
      </c>
      <c r="D19" s="9"/>
      <c r="E19" s="9"/>
      <c r="F19" s="9"/>
      <c r="G19" s="9"/>
      <c r="H19" s="9"/>
      <c r="I19" s="9"/>
      <c r="J19" s="9"/>
    </row>
    <row r="20" spans="1:10" x14ac:dyDescent="0.25">
      <c r="A20" t="s">
        <v>377</v>
      </c>
      <c r="B20" t="s">
        <v>188</v>
      </c>
      <c r="D20" s="9">
        <f>0.075*SUM(D17:D18)</f>
        <v>2480.2199999999998</v>
      </c>
      <c r="E20" s="9">
        <v>2074.0100000000002</v>
      </c>
      <c r="F20" s="9">
        <f>0.075*SUM(F17:F18)</f>
        <v>2378.04</v>
      </c>
      <c r="G20" s="9">
        <v>2503.0100000000002</v>
      </c>
      <c r="H20" s="9">
        <f>0.075*SUM(H17:H18)</f>
        <v>2300.04</v>
      </c>
      <c r="I20" s="9">
        <v>2358.13</v>
      </c>
      <c r="J20" s="9">
        <f>0.075*SUM(J17:J18)</f>
        <v>2150.94</v>
      </c>
    </row>
    <row r="21" spans="1:10" x14ac:dyDescent="0.25">
      <c r="A21" t="s">
        <v>378</v>
      </c>
      <c r="B21" t="s">
        <v>80</v>
      </c>
      <c r="D21" s="9">
        <f>0.062*SUM(D17:D18)</f>
        <v>2050.3152</v>
      </c>
      <c r="E21" s="9">
        <v>1690.6</v>
      </c>
      <c r="F21" s="9">
        <f>0.062*SUM(F17:F18)</f>
        <v>1965.8464000000001</v>
      </c>
      <c r="G21" s="9">
        <v>2027.39</v>
      </c>
      <c r="H21" s="9">
        <f>0.062*SUM(H17:H18)</f>
        <v>1901.3664000000001</v>
      </c>
      <c r="I21" s="9">
        <v>1909.05</v>
      </c>
      <c r="J21" s="9">
        <f>0.062*SUM(J17:J18)</f>
        <v>1778.1104</v>
      </c>
    </row>
    <row r="22" spans="1:10" x14ac:dyDescent="0.25">
      <c r="A22" t="s">
        <v>379</v>
      </c>
      <c r="B22" t="s">
        <v>82</v>
      </c>
      <c r="D22" s="9">
        <f>0.0145*SUM(D17:D18)</f>
        <v>479.50920000000002</v>
      </c>
      <c r="E22" s="9">
        <v>395.37</v>
      </c>
      <c r="F22" s="9">
        <f>0.0145*SUM(F17:F18)</f>
        <v>459.75440000000003</v>
      </c>
      <c r="G22" s="9">
        <v>474.09</v>
      </c>
      <c r="H22" s="9">
        <f>0.0145*SUM(H17:H18)</f>
        <v>444.67440000000005</v>
      </c>
      <c r="I22" s="9">
        <v>446.38</v>
      </c>
      <c r="J22" s="9">
        <f>0.0145*SUM(J17:J18)</f>
        <v>415.84840000000003</v>
      </c>
    </row>
    <row r="23" spans="1:10" x14ac:dyDescent="0.25">
      <c r="A23" s="24" t="s">
        <v>1284</v>
      </c>
      <c r="B23" s="24" t="s">
        <v>1278</v>
      </c>
      <c r="D23" s="9"/>
      <c r="E23" s="9">
        <v>0</v>
      </c>
      <c r="F23" s="9">
        <v>0</v>
      </c>
      <c r="G23" s="9">
        <v>1592</v>
      </c>
      <c r="H23" s="9"/>
      <c r="I23" s="9"/>
      <c r="J23" s="9"/>
    </row>
    <row r="24" spans="1:10" x14ac:dyDescent="0.25">
      <c r="A24" t="s">
        <v>181</v>
      </c>
      <c r="D24" s="9"/>
      <c r="E24" s="9"/>
      <c r="F24" s="9"/>
      <c r="G24" s="9"/>
      <c r="H24" s="9"/>
      <c r="I24" s="9"/>
      <c r="J24" s="9"/>
    </row>
    <row r="25" spans="1:10" x14ac:dyDescent="0.25">
      <c r="A25" t="s">
        <v>380</v>
      </c>
      <c r="B25" t="s">
        <v>183</v>
      </c>
      <c r="D25" s="9">
        <v>9000</v>
      </c>
      <c r="E25" s="9">
        <v>4062.98</v>
      </c>
      <c r="F25" s="9">
        <v>11400</v>
      </c>
      <c r="G25" s="9">
        <v>4255.4399999999996</v>
      </c>
      <c r="H25" s="9">
        <f>(950*12)/2</f>
        <v>5700</v>
      </c>
      <c r="I25" s="9">
        <v>4126.82</v>
      </c>
      <c r="J25" s="9">
        <f>(900*12)/2</f>
        <v>5400</v>
      </c>
    </row>
    <row r="26" spans="1:10" x14ac:dyDescent="0.25">
      <c r="A26" t="s">
        <v>381</v>
      </c>
      <c r="B26" t="s">
        <v>185</v>
      </c>
      <c r="D26" s="9">
        <v>510</v>
      </c>
      <c r="E26" s="9">
        <v>390.54</v>
      </c>
      <c r="F26" s="9">
        <v>397.5</v>
      </c>
      <c r="G26" s="9">
        <v>384.58</v>
      </c>
      <c r="H26" s="9">
        <f>765/2</f>
        <v>382.5</v>
      </c>
      <c r="I26" s="9">
        <v>371.01</v>
      </c>
      <c r="J26" s="9">
        <f>(61.22*12)/2</f>
        <v>367.32</v>
      </c>
    </row>
    <row r="27" spans="1:10" x14ac:dyDescent="0.25">
      <c r="A27" t="s">
        <v>42</v>
      </c>
      <c r="D27" s="9"/>
      <c r="E27" s="9"/>
      <c r="F27" s="9"/>
      <c r="G27" s="9"/>
      <c r="H27" s="9"/>
      <c r="I27" s="9"/>
      <c r="J27" s="9"/>
    </row>
    <row r="28" spans="1:10" x14ac:dyDescent="0.25">
      <c r="A28" t="s">
        <v>382</v>
      </c>
      <c r="B28" t="s">
        <v>180</v>
      </c>
      <c r="D28" s="9">
        <v>1800</v>
      </c>
      <c r="E28" s="9">
        <v>0</v>
      </c>
      <c r="F28" s="9">
        <v>1800</v>
      </c>
      <c r="G28" s="9">
        <v>1204</v>
      </c>
      <c r="H28" s="9">
        <v>1800</v>
      </c>
      <c r="I28" s="9">
        <v>1783.17</v>
      </c>
      <c r="J28" s="9">
        <v>2500</v>
      </c>
    </row>
    <row r="29" spans="1:10" x14ac:dyDescent="0.25">
      <c r="A29" t="s">
        <v>147</v>
      </c>
      <c r="D29" s="9"/>
      <c r="E29" s="9"/>
      <c r="F29" s="9"/>
      <c r="G29" s="9"/>
      <c r="H29" s="9"/>
      <c r="I29" s="9"/>
      <c r="J29" s="9"/>
    </row>
    <row r="30" spans="1:10" x14ac:dyDescent="0.25">
      <c r="A30" s="10" t="s">
        <v>551</v>
      </c>
      <c r="B30" s="10" t="s">
        <v>552</v>
      </c>
      <c r="D30" s="9">
        <v>1500</v>
      </c>
      <c r="E30" s="9">
        <v>853.81</v>
      </c>
      <c r="F30" s="9">
        <v>1500</v>
      </c>
      <c r="G30" s="9">
        <v>1233.19</v>
      </c>
      <c r="H30" s="9">
        <v>1500</v>
      </c>
      <c r="I30" s="9">
        <v>1511.62</v>
      </c>
      <c r="J30" s="9">
        <v>1000</v>
      </c>
    </row>
    <row r="31" spans="1:10" x14ac:dyDescent="0.25">
      <c r="A31" t="s">
        <v>383</v>
      </c>
      <c r="B31" t="s">
        <v>30</v>
      </c>
      <c r="D31" s="9">
        <v>5000</v>
      </c>
      <c r="E31" s="9">
        <v>2134.73</v>
      </c>
      <c r="F31" s="9">
        <v>6000</v>
      </c>
      <c r="G31" s="9">
        <v>3326.05</v>
      </c>
      <c r="H31" s="9">
        <v>6000</v>
      </c>
      <c r="I31" s="9">
        <v>3068.2</v>
      </c>
      <c r="J31" s="9">
        <v>6000</v>
      </c>
    </row>
    <row r="32" spans="1:10" x14ac:dyDescent="0.25">
      <c r="A32" t="s">
        <v>384</v>
      </c>
      <c r="B32" t="s">
        <v>31</v>
      </c>
      <c r="D32" s="9">
        <v>6000</v>
      </c>
      <c r="E32" s="9">
        <v>1999.16</v>
      </c>
      <c r="F32" s="9">
        <v>6000</v>
      </c>
      <c r="G32" s="9">
        <v>2825.33</v>
      </c>
      <c r="H32" s="9">
        <v>6000</v>
      </c>
      <c r="I32" s="9">
        <v>7847.5</v>
      </c>
      <c r="J32" s="9">
        <v>6000</v>
      </c>
    </row>
    <row r="33" spans="1:10" x14ac:dyDescent="0.25">
      <c r="A33" t="s">
        <v>23</v>
      </c>
      <c r="D33" s="9"/>
      <c r="E33" s="9"/>
      <c r="F33" s="9"/>
      <c r="G33" s="9"/>
      <c r="H33" s="9"/>
      <c r="I33" s="9"/>
      <c r="J33" s="9"/>
    </row>
    <row r="34" spans="1:10" x14ac:dyDescent="0.25">
      <c r="A34" t="s">
        <v>385</v>
      </c>
      <c r="B34" t="s">
        <v>139</v>
      </c>
      <c r="D34" s="9">
        <v>5000</v>
      </c>
      <c r="E34" s="9">
        <v>3300.26</v>
      </c>
      <c r="F34" s="9">
        <v>5000</v>
      </c>
      <c r="G34" s="9">
        <v>4920.76</v>
      </c>
      <c r="H34" s="9">
        <v>5000</v>
      </c>
      <c r="I34" s="9">
        <v>4743.95</v>
      </c>
      <c r="J34" s="9">
        <v>5000</v>
      </c>
    </row>
    <row r="35" spans="1:10" x14ac:dyDescent="0.25">
      <c r="A35" s="10" t="s">
        <v>549</v>
      </c>
      <c r="B35" s="10" t="s">
        <v>550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2032.38</v>
      </c>
      <c r="J35" s="9">
        <v>0</v>
      </c>
    </row>
    <row r="36" spans="1:10" x14ac:dyDescent="0.25">
      <c r="A36" s="24" t="s">
        <v>695</v>
      </c>
      <c r="B36" s="24" t="s">
        <v>633</v>
      </c>
      <c r="D36" s="9">
        <v>500</v>
      </c>
      <c r="E36" s="9">
        <v>0</v>
      </c>
      <c r="F36" s="9">
        <v>1000</v>
      </c>
      <c r="G36" s="9">
        <v>0</v>
      </c>
      <c r="H36" s="9">
        <v>1000</v>
      </c>
      <c r="I36" s="9">
        <v>0</v>
      </c>
      <c r="J36" s="9">
        <v>1000</v>
      </c>
    </row>
    <row r="37" spans="1:10" x14ac:dyDescent="0.25">
      <c r="A37" t="s">
        <v>6</v>
      </c>
      <c r="D37" s="9"/>
      <c r="E37" s="9"/>
      <c r="F37" s="9"/>
      <c r="G37" s="9"/>
      <c r="H37" s="9"/>
      <c r="I37" s="9"/>
      <c r="J37" s="9"/>
    </row>
    <row r="38" spans="1:10" x14ac:dyDescent="0.25">
      <c r="A38" t="s">
        <v>386</v>
      </c>
      <c r="B38" t="s">
        <v>10</v>
      </c>
      <c r="D38" s="9">
        <v>10000</v>
      </c>
      <c r="E38" s="9">
        <v>20900.71</v>
      </c>
      <c r="F38" s="9">
        <v>10000</v>
      </c>
      <c r="G38" s="9">
        <v>13509.77</v>
      </c>
      <c r="H38" s="9">
        <v>10000</v>
      </c>
      <c r="I38" s="9">
        <v>10635.54</v>
      </c>
      <c r="J38" s="9">
        <v>10000</v>
      </c>
    </row>
    <row r="39" spans="1:10" x14ac:dyDescent="0.25">
      <c r="A39" t="s">
        <v>1242</v>
      </c>
      <c r="B39" t="s">
        <v>12</v>
      </c>
      <c r="D39" s="9">
        <v>0</v>
      </c>
      <c r="E39" s="9">
        <v>0</v>
      </c>
      <c r="F39" s="9">
        <v>0</v>
      </c>
      <c r="G39" s="9">
        <v>867</v>
      </c>
      <c r="H39" s="9"/>
      <c r="I39" s="9"/>
      <c r="J39" s="9"/>
    </row>
    <row r="40" spans="1:10" x14ac:dyDescent="0.25">
      <c r="A40" t="s">
        <v>5</v>
      </c>
      <c r="D40" s="9"/>
      <c r="E40" s="9"/>
      <c r="F40" s="9"/>
      <c r="G40" s="9"/>
      <c r="H40" s="9"/>
      <c r="I40" s="9"/>
      <c r="J40" s="9"/>
    </row>
    <row r="41" spans="1:10" x14ac:dyDescent="0.25">
      <c r="A41" t="s">
        <v>387</v>
      </c>
      <c r="B41" t="s">
        <v>87</v>
      </c>
      <c r="D41" s="9">
        <v>500</v>
      </c>
      <c r="E41" s="9">
        <v>407.19</v>
      </c>
      <c r="F41" s="9">
        <v>500</v>
      </c>
      <c r="G41" s="9">
        <v>484.6</v>
      </c>
      <c r="H41" s="9">
        <v>500</v>
      </c>
      <c r="I41" s="9">
        <v>520.38</v>
      </c>
      <c r="J41" s="9">
        <v>500</v>
      </c>
    </row>
    <row r="42" spans="1:10" x14ac:dyDescent="0.25">
      <c r="A42" s="10" t="s">
        <v>548</v>
      </c>
      <c r="B42" s="10" t="s">
        <v>88</v>
      </c>
      <c r="D42" s="9">
        <v>200</v>
      </c>
      <c r="E42" s="9">
        <v>106.64</v>
      </c>
      <c r="F42" s="9">
        <v>200</v>
      </c>
      <c r="G42" s="9">
        <v>25.7</v>
      </c>
      <c r="H42" s="9">
        <v>0</v>
      </c>
      <c r="I42" s="9">
        <v>172.86</v>
      </c>
      <c r="J42" s="9">
        <v>0</v>
      </c>
    </row>
    <row r="43" spans="1:10" x14ac:dyDescent="0.25">
      <c r="A43" t="s">
        <v>132</v>
      </c>
      <c r="D43" s="9"/>
      <c r="E43" s="9"/>
      <c r="F43" s="9"/>
      <c r="G43" s="9"/>
      <c r="H43" s="9"/>
      <c r="I43" s="9"/>
      <c r="J43" s="9"/>
    </row>
    <row r="44" spans="1:10" x14ac:dyDescent="0.25">
      <c r="A44" s="24" t="s">
        <v>1050</v>
      </c>
      <c r="B44" s="24" t="s">
        <v>135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25">
      <c r="A45" t="s">
        <v>388</v>
      </c>
      <c r="B45" t="s">
        <v>133</v>
      </c>
      <c r="D45" s="9">
        <v>600</v>
      </c>
      <c r="E45" s="9">
        <v>670.19</v>
      </c>
      <c r="F45" s="9">
        <v>600</v>
      </c>
      <c r="G45" s="9">
        <v>821.7</v>
      </c>
      <c r="H45" s="9">
        <v>350</v>
      </c>
      <c r="I45" s="9">
        <v>112</v>
      </c>
      <c r="J45" s="9">
        <v>350</v>
      </c>
    </row>
    <row r="46" spans="1:10" x14ac:dyDescent="0.25">
      <c r="A46" t="s">
        <v>126</v>
      </c>
      <c r="D46" s="9"/>
      <c r="E46" s="9"/>
      <c r="F46" s="9"/>
      <c r="G46" s="9"/>
      <c r="H46" s="9"/>
      <c r="I46" s="9"/>
      <c r="J46" s="9"/>
    </row>
    <row r="47" spans="1:10" x14ac:dyDescent="0.25">
      <c r="A47" s="10" t="s">
        <v>506</v>
      </c>
      <c r="B47" s="10" t="s">
        <v>507</v>
      </c>
      <c r="D47" s="9">
        <v>500</v>
      </c>
      <c r="E47" s="9">
        <v>476</v>
      </c>
      <c r="F47" s="9">
        <v>400</v>
      </c>
      <c r="G47" s="9">
        <v>370</v>
      </c>
      <c r="H47" s="9">
        <v>300</v>
      </c>
      <c r="I47" s="9">
        <v>296</v>
      </c>
      <c r="J47" s="9">
        <v>250</v>
      </c>
    </row>
    <row r="48" spans="1:10" x14ac:dyDescent="0.25">
      <c r="A48" t="s">
        <v>119</v>
      </c>
      <c r="D48" s="9"/>
      <c r="E48" s="9"/>
      <c r="F48" s="9"/>
      <c r="G48" s="9"/>
      <c r="H48" s="9"/>
      <c r="I48" s="9"/>
      <c r="J48" s="9"/>
    </row>
    <row r="49" spans="1:10" x14ac:dyDescent="0.25">
      <c r="A49" t="s">
        <v>389</v>
      </c>
      <c r="B49" t="s">
        <v>120</v>
      </c>
      <c r="D49" s="9">
        <v>45000</v>
      </c>
      <c r="E49" s="9">
        <v>28348.01</v>
      </c>
      <c r="F49" s="9">
        <v>45000</v>
      </c>
      <c r="G49" s="9">
        <v>33876.78</v>
      </c>
      <c r="H49" s="9">
        <v>45000</v>
      </c>
      <c r="I49" s="9">
        <v>36514.800000000003</v>
      </c>
      <c r="J49" s="9">
        <v>45000</v>
      </c>
    </row>
    <row r="50" spans="1:10" x14ac:dyDescent="0.25">
      <c r="A50" s="24" t="s">
        <v>693</v>
      </c>
      <c r="D50" s="9"/>
      <c r="E50" s="9"/>
      <c r="F50" s="9"/>
      <c r="G50" s="9"/>
      <c r="H50" s="9"/>
      <c r="I50" s="9"/>
      <c r="J50" s="9"/>
    </row>
    <row r="51" spans="1:10" x14ac:dyDescent="0.25">
      <c r="A51" s="24" t="s">
        <v>694</v>
      </c>
      <c r="B51" s="24" t="s">
        <v>870</v>
      </c>
      <c r="D51" s="9">
        <v>35000</v>
      </c>
      <c r="E51" s="9">
        <v>0</v>
      </c>
      <c r="F51" s="9">
        <v>25000</v>
      </c>
      <c r="G51" s="9">
        <v>22500</v>
      </c>
      <c r="H51" s="9">
        <v>22500</v>
      </c>
      <c r="I51" s="9">
        <v>22500</v>
      </c>
      <c r="J51" s="9">
        <v>22500</v>
      </c>
    </row>
    <row r="52" spans="1:10" x14ac:dyDescent="0.25">
      <c r="A52" s="24" t="s">
        <v>490</v>
      </c>
      <c r="B52" s="24"/>
      <c r="D52" s="9"/>
      <c r="E52" s="9"/>
      <c r="F52" s="9"/>
      <c r="G52" s="9"/>
      <c r="H52" s="9"/>
      <c r="I52" s="9"/>
      <c r="J52" s="9"/>
    </row>
    <row r="53" spans="1:10" x14ac:dyDescent="0.25">
      <c r="A53" s="24" t="s">
        <v>1051</v>
      </c>
      <c r="B53" s="24" t="s">
        <v>1052</v>
      </c>
      <c r="D53" s="9">
        <v>0</v>
      </c>
      <c r="E53" s="9">
        <v>855166.14</v>
      </c>
      <c r="F53" s="9">
        <v>1607000</v>
      </c>
      <c r="G53" s="9">
        <v>0</v>
      </c>
      <c r="H53" s="9">
        <v>750000</v>
      </c>
      <c r="I53" s="9">
        <v>0</v>
      </c>
      <c r="J53" s="9">
        <v>750000</v>
      </c>
    </row>
    <row r="54" spans="1:10" x14ac:dyDescent="0.25">
      <c r="A54" s="24" t="s">
        <v>1243</v>
      </c>
      <c r="B54" s="24" t="s">
        <v>1178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x14ac:dyDescent="0.25">
      <c r="A55" s="24" t="s">
        <v>1285</v>
      </c>
      <c r="B55" s="24" t="s">
        <v>1280</v>
      </c>
      <c r="D55" s="9">
        <v>0</v>
      </c>
      <c r="E55" s="9">
        <v>0</v>
      </c>
      <c r="F55" s="9">
        <v>0</v>
      </c>
      <c r="G55" s="9">
        <v>58209</v>
      </c>
      <c r="H55" s="9">
        <v>0</v>
      </c>
      <c r="I55" s="9">
        <v>0</v>
      </c>
      <c r="J55" s="9">
        <v>0</v>
      </c>
    </row>
    <row r="56" spans="1:10" x14ac:dyDescent="0.25">
      <c r="A56" s="24" t="s">
        <v>828</v>
      </c>
      <c r="B56" s="24"/>
      <c r="D56" s="9"/>
      <c r="E56" s="9"/>
      <c r="F56" s="9"/>
      <c r="G56" s="9"/>
      <c r="H56" s="9"/>
      <c r="I56" s="9"/>
      <c r="J56" s="9"/>
    </row>
    <row r="57" spans="1:10" x14ac:dyDescent="0.25">
      <c r="A57" s="24" t="s">
        <v>826</v>
      </c>
      <c r="B57" s="24" t="s">
        <v>829</v>
      </c>
      <c r="D57" s="9">
        <v>79200</v>
      </c>
      <c r="E57" s="9">
        <v>79200</v>
      </c>
      <c r="F57" s="9">
        <v>79200</v>
      </c>
      <c r="G57" s="9">
        <v>79200</v>
      </c>
      <c r="H57" s="9">
        <v>79200</v>
      </c>
      <c r="I57" s="9">
        <v>79200</v>
      </c>
      <c r="J57" s="9">
        <v>79200</v>
      </c>
    </row>
    <row r="58" spans="1:10" x14ac:dyDescent="0.25">
      <c r="A58" s="24" t="s">
        <v>827</v>
      </c>
      <c r="B58" s="24" t="s">
        <v>830</v>
      </c>
      <c r="D58" s="9">
        <v>22474</v>
      </c>
      <c r="E58" s="9">
        <v>45755.76</v>
      </c>
      <c r="F58" s="9">
        <f>23267+22475</f>
        <v>45742</v>
      </c>
      <c r="G58" s="9">
        <v>42996</v>
      </c>
      <c r="H58" s="9">
        <v>47187</v>
      </c>
      <c r="I58" s="9">
        <v>48395.35</v>
      </c>
      <c r="J58" s="9">
        <v>48395</v>
      </c>
    </row>
    <row r="59" spans="1:10" x14ac:dyDescent="0.25">
      <c r="A59" s="24" t="s">
        <v>826</v>
      </c>
      <c r="B59" s="24" t="s">
        <v>1349</v>
      </c>
      <c r="D59" s="9">
        <v>30000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x14ac:dyDescent="0.25">
      <c r="A60" s="24" t="s">
        <v>827</v>
      </c>
      <c r="B60" s="24" t="s">
        <v>1350</v>
      </c>
      <c r="D60" s="9">
        <v>25339.59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x14ac:dyDescent="0.25">
      <c r="A61" s="24" t="s">
        <v>826</v>
      </c>
      <c r="B61" s="24" t="s">
        <v>1394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x14ac:dyDescent="0.25">
      <c r="A62" s="24" t="s">
        <v>827</v>
      </c>
      <c r="B62" s="24" t="s">
        <v>1394</v>
      </c>
      <c r="D62" s="135">
        <v>13200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x14ac:dyDescent="0.25">
      <c r="A63" t="s">
        <v>114</v>
      </c>
      <c r="D63" s="9"/>
      <c r="E63" s="9"/>
      <c r="F63" s="9"/>
      <c r="G63" s="9"/>
      <c r="H63" s="9"/>
      <c r="I63" s="9"/>
      <c r="J63" s="9"/>
    </row>
    <row r="64" spans="1:10" x14ac:dyDescent="0.25">
      <c r="A64" t="s">
        <v>566</v>
      </c>
      <c r="B64" t="s">
        <v>115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30280.28</v>
      </c>
      <c r="J64" s="9">
        <v>0</v>
      </c>
    </row>
    <row r="65" spans="1:12" x14ac:dyDescent="0.25">
      <c r="A65" s="24" t="s">
        <v>692</v>
      </c>
      <c r="B65" s="24" t="s">
        <v>116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</row>
    <row r="66" spans="1:12" x14ac:dyDescent="0.25">
      <c r="A66" t="s">
        <v>390</v>
      </c>
      <c r="B66" t="s">
        <v>117</v>
      </c>
      <c r="D66" s="9">
        <v>0</v>
      </c>
      <c r="E66" s="9">
        <v>0</v>
      </c>
      <c r="F66" s="9">
        <v>0</v>
      </c>
      <c r="G66" s="9">
        <v>9324</v>
      </c>
      <c r="H66" s="9">
        <v>250000</v>
      </c>
      <c r="I66" s="9">
        <v>279.5</v>
      </c>
      <c r="J66" s="9">
        <v>5000</v>
      </c>
    </row>
    <row r="67" spans="1:12" x14ac:dyDescent="0.25">
      <c r="A67" s="24" t="s">
        <v>1286</v>
      </c>
      <c r="B67" s="24" t="s">
        <v>118</v>
      </c>
      <c r="D67" s="9">
        <v>0</v>
      </c>
      <c r="E67" s="9">
        <v>51995.16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</row>
    <row r="68" spans="1:12" x14ac:dyDescent="0.25">
      <c r="A68" s="24" t="s">
        <v>1310</v>
      </c>
      <c r="B68" s="24" t="s">
        <v>112</v>
      </c>
      <c r="D68" s="9">
        <v>2500</v>
      </c>
      <c r="E68" s="9">
        <v>662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</row>
    <row r="69" spans="1:12" x14ac:dyDescent="0.25">
      <c r="A69" t="s">
        <v>105</v>
      </c>
      <c r="D69" s="9"/>
      <c r="E69" s="9"/>
      <c r="F69" s="9"/>
      <c r="G69" s="9"/>
      <c r="H69" s="9"/>
      <c r="I69" s="9"/>
      <c r="J69" s="9"/>
    </row>
    <row r="70" spans="1:12" x14ac:dyDescent="0.25">
      <c r="A70" t="s">
        <v>391</v>
      </c>
      <c r="B70" t="s">
        <v>91</v>
      </c>
      <c r="D70" s="9">
        <v>2500</v>
      </c>
      <c r="E70" s="9">
        <v>5399.2</v>
      </c>
      <c r="F70" s="9">
        <v>2500</v>
      </c>
      <c r="G70" s="9">
        <v>4402</v>
      </c>
      <c r="H70" s="9">
        <v>4500</v>
      </c>
      <c r="I70" s="9">
        <v>4981.6000000000004</v>
      </c>
      <c r="J70" s="9">
        <v>4500</v>
      </c>
    </row>
    <row r="71" spans="1:12" x14ac:dyDescent="0.25">
      <c r="A71" t="s">
        <v>392</v>
      </c>
      <c r="B71" t="s">
        <v>89</v>
      </c>
      <c r="D71" s="9">
        <v>2500</v>
      </c>
      <c r="E71" s="9">
        <v>0</v>
      </c>
      <c r="F71" s="9">
        <v>2500</v>
      </c>
      <c r="G71" s="9">
        <v>1102.99</v>
      </c>
      <c r="H71" s="9">
        <v>2500</v>
      </c>
      <c r="I71" s="9">
        <v>0</v>
      </c>
      <c r="J71" s="9">
        <v>500</v>
      </c>
    </row>
    <row r="72" spans="1:12" x14ac:dyDescent="0.25">
      <c r="D72" s="9"/>
      <c r="E72" s="9"/>
      <c r="F72" s="9"/>
      <c r="G72" s="9"/>
      <c r="H72" s="9"/>
      <c r="I72" s="9"/>
      <c r="J72" s="9"/>
      <c r="L72" s="24"/>
    </row>
    <row r="73" spans="1:12" x14ac:dyDescent="0.25">
      <c r="B73" s="22" t="s">
        <v>57</v>
      </c>
      <c r="D73" s="9">
        <f>SUM(D17:D71)</f>
        <v>336903.23440000002</v>
      </c>
      <c r="E73" s="9">
        <f>SUM(E17:E71)</f>
        <v>1132810.5099999998</v>
      </c>
      <c r="F73" s="9">
        <f t="shared" ref="F73:J73" si="0">SUM(F17:F71)</f>
        <v>1888250.3407999999</v>
      </c>
      <c r="G73" s="9">
        <f t="shared" si="0"/>
        <v>327181.67</v>
      </c>
      <c r="H73" s="9">
        <f t="shared" si="0"/>
        <v>1274732.7808000001</v>
      </c>
      <c r="I73" s="9">
        <f t="shared" si="0"/>
        <v>295729.49</v>
      </c>
      <c r="J73" s="9">
        <f t="shared" si="0"/>
        <v>1026486.4188</v>
      </c>
    </row>
    <row r="74" spans="1:12" x14ac:dyDescent="0.25">
      <c r="D74" s="16"/>
      <c r="J74" s="9"/>
    </row>
    <row r="75" spans="1:12" x14ac:dyDescent="0.25">
      <c r="A75" s="10"/>
      <c r="B75" s="43" t="s">
        <v>645</v>
      </c>
      <c r="D75" s="16"/>
      <c r="E75" s="9">
        <v>370758</v>
      </c>
      <c r="G75" s="9">
        <v>321737.12</v>
      </c>
      <c r="I75" s="9">
        <v>244915</v>
      </c>
      <c r="J75" s="9"/>
    </row>
    <row r="77" spans="1:12" x14ac:dyDescent="0.25">
      <c r="A77" s="110" t="s">
        <v>1049</v>
      </c>
    </row>
    <row r="78" spans="1:12" x14ac:dyDescent="0.25">
      <c r="A78" s="24" t="s">
        <v>1119</v>
      </c>
      <c r="B78" s="9">
        <v>5000</v>
      </c>
    </row>
    <row r="79" spans="1:12" x14ac:dyDescent="0.25">
      <c r="A79" s="24" t="s">
        <v>1044</v>
      </c>
      <c r="B79" s="9">
        <v>750000</v>
      </c>
    </row>
    <row r="80" spans="1:12" x14ac:dyDescent="0.25">
      <c r="A80" s="24"/>
      <c r="B80" s="9"/>
    </row>
    <row r="81" spans="1:2" x14ac:dyDescent="0.25">
      <c r="A81" s="110" t="s">
        <v>1109</v>
      </c>
      <c r="B81" s="9"/>
    </row>
    <row r="82" spans="1:2" x14ac:dyDescent="0.25">
      <c r="A82" s="24" t="s">
        <v>1118</v>
      </c>
      <c r="B82" s="9">
        <v>250000</v>
      </c>
    </row>
    <row r="84" spans="1:2" x14ac:dyDescent="0.25">
      <c r="A84" s="110" t="s">
        <v>1125</v>
      </c>
    </row>
    <row r="85" spans="1:2" x14ac:dyDescent="0.25">
      <c r="A85" t="s">
        <v>1044</v>
      </c>
      <c r="B85" s="9">
        <v>877000</v>
      </c>
    </row>
    <row r="86" spans="1:2" x14ac:dyDescent="0.25">
      <c r="A86" t="s">
        <v>1235</v>
      </c>
      <c r="B86" s="9">
        <v>730000</v>
      </c>
    </row>
    <row r="87" spans="1:2" x14ac:dyDescent="0.25">
      <c r="A87" t="s">
        <v>1236</v>
      </c>
    </row>
    <row r="89" spans="1:2" x14ac:dyDescent="0.25">
      <c r="A89" s="110" t="s">
        <v>1273</v>
      </c>
    </row>
    <row r="90" spans="1:2" x14ac:dyDescent="0.25">
      <c r="A90" s="24" t="s">
        <v>1351</v>
      </c>
      <c r="B90" s="9">
        <v>2500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01"/>
  <sheetViews>
    <sheetView topLeftCell="A7" zoomScaleNormal="100" workbookViewId="0">
      <selection activeCell="B17" sqref="B17"/>
    </sheetView>
  </sheetViews>
  <sheetFormatPr defaultRowHeight="13.2" x14ac:dyDescent="0.25"/>
  <cols>
    <col min="1" max="1" width="25.109375" customWidth="1"/>
    <col min="2" max="2" width="27.5546875" customWidth="1"/>
    <col min="3" max="6" width="11.6640625" customWidth="1"/>
    <col min="7" max="7" width="12.33203125" bestFit="1" customWidth="1"/>
    <col min="8" max="9" width="11.6640625" customWidth="1"/>
  </cols>
  <sheetData>
    <row r="1" spans="1:9" ht="15.6" x14ac:dyDescent="0.3">
      <c r="B1" s="11" t="s">
        <v>4</v>
      </c>
      <c r="C1" s="1">
        <v>2021</v>
      </c>
      <c r="D1" s="1">
        <v>2020</v>
      </c>
      <c r="E1" s="1">
        <v>2020</v>
      </c>
      <c r="F1" s="36">
        <v>2019</v>
      </c>
      <c r="G1" s="36">
        <v>2019</v>
      </c>
      <c r="H1" s="36">
        <v>2018</v>
      </c>
      <c r="I1" s="36">
        <v>2018</v>
      </c>
    </row>
    <row r="2" spans="1:9" x14ac:dyDescent="0.25">
      <c r="C2" s="1" t="s">
        <v>501</v>
      </c>
      <c r="D2" s="1" t="s">
        <v>1179</v>
      </c>
      <c r="E2" s="1" t="s">
        <v>501</v>
      </c>
      <c r="F2" s="36" t="s">
        <v>794</v>
      </c>
      <c r="G2" s="36" t="s">
        <v>501</v>
      </c>
      <c r="H2" s="36" t="s">
        <v>794</v>
      </c>
      <c r="I2" s="36" t="s">
        <v>501</v>
      </c>
    </row>
    <row r="3" spans="1:9" x14ac:dyDescent="0.25">
      <c r="A3" t="s">
        <v>39</v>
      </c>
    </row>
    <row r="4" spans="1:9" x14ac:dyDescent="0.25">
      <c r="A4" s="10" t="s">
        <v>562</v>
      </c>
      <c r="B4" s="10" t="s">
        <v>563</v>
      </c>
      <c r="C4" s="18">
        <v>0</v>
      </c>
      <c r="D4" s="18">
        <v>0</v>
      </c>
      <c r="E4" s="18">
        <v>0</v>
      </c>
      <c r="F4" s="18">
        <v>1500</v>
      </c>
      <c r="G4" s="18">
        <v>0</v>
      </c>
      <c r="H4" s="18">
        <v>0</v>
      </c>
      <c r="I4" s="18">
        <v>0</v>
      </c>
    </row>
    <row r="5" spans="1:9" x14ac:dyDescent="0.25">
      <c r="A5" s="112" t="s">
        <v>944</v>
      </c>
      <c r="B5" s="112" t="s">
        <v>661</v>
      </c>
      <c r="C5" s="99">
        <v>0</v>
      </c>
      <c r="D5" s="99">
        <v>0</v>
      </c>
      <c r="E5" s="99">
        <v>0</v>
      </c>
      <c r="F5" s="99">
        <v>62</v>
      </c>
      <c r="G5" s="99">
        <v>0</v>
      </c>
      <c r="H5" s="99">
        <v>0</v>
      </c>
      <c r="I5" s="99">
        <v>0</v>
      </c>
    </row>
    <row r="6" spans="1:9" x14ac:dyDescent="0.25">
      <c r="A6" s="24" t="s">
        <v>685</v>
      </c>
      <c r="B6" s="24" t="s">
        <v>473</v>
      </c>
      <c r="C6" s="49">
        <v>1500</v>
      </c>
      <c r="D6" s="49">
        <v>0</v>
      </c>
      <c r="E6" s="49">
        <v>1500</v>
      </c>
      <c r="F6" s="49">
        <v>1500</v>
      </c>
      <c r="G6" s="49">
        <v>1000</v>
      </c>
      <c r="H6" s="49">
        <v>0</v>
      </c>
      <c r="I6" s="49">
        <v>1000</v>
      </c>
    </row>
    <row r="7" spans="1:9" x14ac:dyDescent="0.25">
      <c r="A7" s="10" t="s">
        <v>153</v>
      </c>
      <c r="B7" t="s">
        <v>473</v>
      </c>
      <c r="C7" s="9">
        <v>194478</v>
      </c>
      <c r="D7" s="49">
        <v>157399.29999999999</v>
      </c>
      <c r="E7" s="9">
        <f>H7*1.04</f>
        <v>194478.024</v>
      </c>
      <c r="F7" s="9">
        <v>195477.88</v>
      </c>
      <c r="G7" s="9" t="e">
        <f>#REF!*1.04</f>
        <v>#REF!</v>
      </c>
      <c r="H7" s="49">
        <v>186998.1</v>
      </c>
      <c r="I7" s="9">
        <v>221430</v>
      </c>
    </row>
    <row r="8" spans="1:9" x14ac:dyDescent="0.25">
      <c r="A8" s="10" t="s">
        <v>564</v>
      </c>
      <c r="B8" t="s">
        <v>24</v>
      </c>
      <c r="C8" s="9">
        <v>1300</v>
      </c>
      <c r="D8" s="49">
        <v>716.21</v>
      </c>
      <c r="E8" s="9">
        <v>1300</v>
      </c>
      <c r="F8" s="9">
        <v>1196.1300000000001</v>
      </c>
      <c r="G8" s="9">
        <v>1338</v>
      </c>
      <c r="H8" s="49">
        <v>1255.92</v>
      </c>
      <c r="I8" s="9">
        <v>1338</v>
      </c>
    </row>
    <row r="9" spans="1:9" x14ac:dyDescent="0.25">
      <c r="A9" s="24" t="s">
        <v>837</v>
      </c>
      <c r="B9" t="s">
        <v>838</v>
      </c>
      <c r="C9" s="9">
        <v>300</v>
      </c>
      <c r="D9" s="49">
        <v>11.08</v>
      </c>
      <c r="E9" s="9">
        <v>300</v>
      </c>
      <c r="F9" s="9">
        <v>21.34</v>
      </c>
      <c r="G9" s="9">
        <v>300</v>
      </c>
      <c r="H9" s="9">
        <v>14.13</v>
      </c>
      <c r="I9" s="9">
        <v>300</v>
      </c>
    </row>
    <row r="10" spans="1:9" x14ac:dyDescent="0.25">
      <c r="A10" s="24" t="s">
        <v>1080</v>
      </c>
      <c r="B10" t="s">
        <v>1081</v>
      </c>
      <c r="C10" s="9">
        <v>0</v>
      </c>
      <c r="D10" s="49">
        <v>0</v>
      </c>
      <c r="E10" s="9">
        <v>0</v>
      </c>
      <c r="F10" s="9">
        <v>0</v>
      </c>
      <c r="G10" s="9">
        <v>0</v>
      </c>
      <c r="H10" s="9">
        <v>1000</v>
      </c>
      <c r="I10" s="9">
        <v>0</v>
      </c>
    </row>
    <row r="11" spans="1:9" x14ac:dyDescent="0.25">
      <c r="A11" s="24" t="s">
        <v>1055</v>
      </c>
      <c r="B11" s="24" t="s">
        <v>781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25</v>
      </c>
      <c r="I11" s="9">
        <v>0</v>
      </c>
    </row>
    <row r="12" spans="1:9" x14ac:dyDescent="0.25">
      <c r="A12" s="112" t="s">
        <v>945</v>
      </c>
      <c r="B12" s="112" t="s">
        <v>946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</row>
    <row r="13" spans="1:9" x14ac:dyDescent="0.25">
      <c r="A13" s="24" t="s">
        <v>686</v>
      </c>
      <c r="B13" t="s">
        <v>592</v>
      </c>
      <c r="C13" s="135">
        <f>43468+1800</f>
        <v>45268</v>
      </c>
      <c r="D13" s="49">
        <v>95397.48</v>
      </c>
      <c r="E13" s="34">
        <f>32351+17617</f>
        <v>49968</v>
      </c>
      <c r="F13" s="9">
        <v>28287.29</v>
      </c>
      <c r="G13" s="9">
        <v>52000</v>
      </c>
      <c r="H13" s="9">
        <v>50174.34</v>
      </c>
      <c r="I13" s="9">
        <v>23000</v>
      </c>
    </row>
    <row r="14" spans="1:9" x14ac:dyDescent="0.25">
      <c r="A14" s="24" t="s">
        <v>686</v>
      </c>
      <c r="B14" s="24" t="s">
        <v>1114</v>
      </c>
      <c r="C14" s="49">
        <v>0</v>
      </c>
      <c r="D14" s="49">
        <v>0</v>
      </c>
      <c r="E14" s="49"/>
      <c r="F14" s="49">
        <v>0</v>
      </c>
      <c r="G14" s="9"/>
      <c r="H14" s="9">
        <v>3097.46</v>
      </c>
      <c r="I14" s="9"/>
    </row>
    <row r="15" spans="1:9" x14ac:dyDescent="0.25">
      <c r="A15" s="24" t="s">
        <v>686</v>
      </c>
      <c r="B15" t="s">
        <v>792</v>
      </c>
      <c r="C15" s="9">
        <v>0</v>
      </c>
      <c r="D15" s="4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x14ac:dyDescent="0.25">
      <c r="C16" s="9"/>
      <c r="D16" s="9"/>
      <c r="E16" s="9"/>
      <c r="F16" s="9"/>
      <c r="G16" s="9"/>
      <c r="H16" s="9"/>
      <c r="I16" s="9"/>
    </row>
    <row r="17" spans="1:11" x14ac:dyDescent="0.25">
      <c r="B17" s="22" t="s">
        <v>57</v>
      </c>
      <c r="C17" s="21">
        <f>SUM(C4:C15)</f>
        <v>242846</v>
      </c>
      <c r="D17" s="21">
        <f>SUM(D4:D15)</f>
        <v>253524.06999999995</v>
      </c>
      <c r="E17" s="21">
        <f>SUM(E4:E15)</f>
        <v>247546.024</v>
      </c>
      <c r="F17" s="21">
        <f>SUM(F4:F15)</f>
        <v>228044.64</v>
      </c>
      <c r="G17" s="21" t="e">
        <f>SUM(G4:G15)</f>
        <v>#REF!</v>
      </c>
      <c r="H17" s="21">
        <f>SUM(H4:H16)</f>
        <v>242564.95</v>
      </c>
      <c r="I17" s="21">
        <f>SUM(I4:I15)</f>
        <v>247068</v>
      </c>
    </row>
    <row r="18" spans="1:11" x14ac:dyDescent="0.25">
      <c r="A18" t="s">
        <v>77</v>
      </c>
      <c r="E18" s="9"/>
      <c r="F18" s="9"/>
      <c r="H18" s="9"/>
      <c r="K18" s="19"/>
    </row>
    <row r="19" spans="1:11" x14ac:dyDescent="0.25">
      <c r="A19" t="s">
        <v>190</v>
      </c>
      <c r="E19" s="9"/>
      <c r="F19" s="9"/>
      <c r="H19" s="9"/>
    </row>
    <row r="20" spans="1:11" x14ac:dyDescent="0.25">
      <c r="A20" t="s">
        <v>393</v>
      </c>
      <c r="B20" t="s">
        <v>96</v>
      </c>
      <c r="C20" s="9">
        <v>28069.599999999999</v>
      </c>
      <c r="D20" s="9">
        <v>24595.45</v>
      </c>
      <c r="E20" s="9">
        <v>26707</v>
      </c>
      <c r="F20" s="9">
        <v>27412.14</v>
      </c>
      <c r="G20" s="9">
        <f>(24.68*2080)/2</f>
        <v>25667.200000000001</v>
      </c>
      <c r="H20" s="9">
        <v>25097.93</v>
      </c>
      <c r="I20" s="9">
        <f>23.73*1040</f>
        <v>24679.200000000001</v>
      </c>
    </row>
    <row r="21" spans="1:11" x14ac:dyDescent="0.25">
      <c r="A21" t="s">
        <v>394</v>
      </c>
      <c r="B21" t="s">
        <v>97</v>
      </c>
      <c r="C21" s="9">
        <v>5000</v>
      </c>
      <c r="D21" s="9">
        <v>4385.91</v>
      </c>
      <c r="E21" s="9">
        <v>5000</v>
      </c>
      <c r="F21" s="9">
        <v>7334.05</v>
      </c>
      <c r="G21" s="9">
        <v>5000</v>
      </c>
      <c r="H21" s="9">
        <v>6544.81</v>
      </c>
      <c r="I21" s="9">
        <v>4000</v>
      </c>
    </row>
    <row r="22" spans="1:11" x14ac:dyDescent="0.25">
      <c r="A22" t="s">
        <v>186</v>
      </c>
      <c r="C22" s="9"/>
      <c r="D22" s="9"/>
      <c r="E22" s="9"/>
      <c r="F22" s="9"/>
      <c r="G22" s="9"/>
      <c r="H22" s="9"/>
      <c r="I22" s="9"/>
    </row>
    <row r="23" spans="1:11" x14ac:dyDescent="0.25">
      <c r="A23" t="s">
        <v>395</v>
      </c>
      <c r="B23" t="s">
        <v>188</v>
      </c>
      <c r="C23" s="9">
        <f>0.075*SUM(C20:C21)</f>
        <v>2480.2199999999998</v>
      </c>
      <c r="D23" s="9">
        <v>2235.58</v>
      </c>
      <c r="E23" s="9">
        <f>0.075*SUM(E20:E21)</f>
        <v>2378.0250000000001</v>
      </c>
      <c r="F23" s="9">
        <v>2502.71</v>
      </c>
      <c r="G23" s="9">
        <f>0.075*SUM(G20:G21)</f>
        <v>2300.04</v>
      </c>
      <c r="H23" s="9">
        <v>2357.84</v>
      </c>
      <c r="I23" s="9">
        <f>0.075*SUM(I20:I21)</f>
        <v>2150.94</v>
      </c>
    </row>
    <row r="24" spans="1:11" x14ac:dyDescent="0.25">
      <c r="A24" t="s">
        <v>396</v>
      </c>
      <c r="B24" t="s">
        <v>80</v>
      </c>
      <c r="C24" s="9">
        <f>0.062*SUM(C20:C21)</f>
        <v>2050.3152</v>
      </c>
      <c r="D24" s="9">
        <v>1821.92</v>
      </c>
      <c r="E24" s="9">
        <f>0.062*SUM(E20:E21)</f>
        <v>1965.8340000000001</v>
      </c>
      <c r="F24" s="9">
        <v>2027.28</v>
      </c>
      <c r="G24" s="9">
        <f>0.062*SUM(G20:G21)</f>
        <v>1901.3664000000001</v>
      </c>
      <c r="H24" s="9">
        <v>1909.04</v>
      </c>
      <c r="I24" s="9">
        <f>0.062*SUM(I20:I21)</f>
        <v>1778.1104</v>
      </c>
    </row>
    <row r="25" spans="1:11" x14ac:dyDescent="0.25">
      <c r="A25" t="s">
        <v>397</v>
      </c>
      <c r="B25" t="s">
        <v>82</v>
      </c>
      <c r="C25" s="9">
        <f>0.0145*SUM(C20:C21)</f>
        <v>479.50920000000002</v>
      </c>
      <c r="D25" s="9">
        <v>426.09</v>
      </c>
      <c r="E25" s="9">
        <f>0.0145*SUM(E20:E21)</f>
        <v>459.75150000000002</v>
      </c>
      <c r="F25" s="9">
        <v>474.18</v>
      </c>
      <c r="G25" s="9">
        <f>0.0145*SUM(G20:G21)</f>
        <v>444.67440000000005</v>
      </c>
      <c r="H25" s="9">
        <v>446.56</v>
      </c>
      <c r="I25" s="9">
        <f>0.0145*SUM(I20:I21)</f>
        <v>415.84840000000003</v>
      </c>
    </row>
    <row r="26" spans="1:11" x14ac:dyDescent="0.25">
      <c r="A26" s="24" t="s">
        <v>1287</v>
      </c>
      <c r="B26" s="24" t="s">
        <v>1278</v>
      </c>
      <c r="C26" s="9">
        <v>0</v>
      </c>
      <c r="D26" s="9">
        <v>0</v>
      </c>
      <c r="E26" s="9">
        <v>0</v>
      </c>
      <c r="F26" s="9">
        <v>1592</v>
      </c>
      <c r="G26" s="9">
        <v>0</v>
      </c>
      <c r="H26" s="9">
        <v>0</v>
      </c>
      <c r="I26" s="9">
        <v>0</v>
      </c>
    </row>
    <row r="27" spans="1:11" x14ac:dyDescent="0.25">
      <c r="A27" t="s">
        <v>181</v>
      </c>
      <c r="C27" s="9"/>
      <c r="D27" s="9"/>
      <c r="E27" s="9"/>
      <c r="F27" s="9"/>
      <c r="G27" s="9"/>
      <c r="H27" s="9"/>
      <c r="I27" s="9"/>
    </row>
    <row r="28" spans="1:11" x14ac:dyDescent="0.25">
      <c r="A28" t="s">
        <v>398</v>
      </c>
      <c r="B28" t="s">
        <v>183</v>
      </c>
      <c r="C28" s="9">
        <v>9000</v>
      </c>
      <c r="D28" s="9">
        <v>4062.94</v>
      </c>
      <c r="E28" s="9">
        <v>11400</v>
      </c>
      <c r="F28" s="9">
        <v>4255.4399999999996</v>
      </c>
      <c r="G28" s="9">
        <f>(950*12)/2</f>
        <v>5700</v>
      </c>
      <c r="H28" s="9">
        <v>4126.78</v>
      </c>
      <c r="I28" s="9">
        <f>(900*12)/2</f>
        <v>5400</v>
      </c>
    </row>
    <row r="29" spans="1:11" x14ac:dyDescent="0.25">
      <c r="A29" t="s">
        <v>399</v>
      </c>
      <c r="B29" t="s">
        <v>185</v>
      </c>
      <c r="C29" s="9">
        <v>510</v>
      </c>
      <c r="D29" s="9">
        <v>390.56</v>
      </c>
      <c r="E29" s="9">
        <v>397.5</v>
      </c>
      <c r="F29" s="9">
        <v>384.56</v>
      </c>
      <c r="G29" s="9">
        <v>383</v>
      </c>
      <c r="H29" s="9">
        <v>370.98</v>
      </c>
      <c r="I29" s="9">
        <f>(51.22*12)/2</f>
        <v>307.32</v>
      </c>
    </row>
    <row r="30" spans="1:11" x14ac:dyDescent="0.25">
      <c r="A30" t="s">
        <v>42</v>
      </c>
      <c r="C30" s="155"/>
      <c r="D30" s="9"/>
      <c r="E30" s="9"/>
      <c r="F30" s="9"/>
      <c r="G30" s="9"/>
      <c r="H30" s="9"/>
      <c r="I30" s="9"/>
    </row>
    <row r="31" spans="1:11" x14ac:dyDescent="0.25">
      <c r="A31" s="24" t="s">
        <v>400</v>
      </c>
      <c r="B31" t="s">
        <v>180</v>
      </c>
      <c r="C31" s="9">
        <v>2500</v>
      </c>
      <c r="D31" s="9">
        <v>2199</v>
      </c>
      <c r="E31" s="9">
        <v>2500</v>
      </c>
      <c r="F31" s="9">
        <v>1204</v>
      </c>
      <c r="G31" s="9">
        <v>3500</v>
      </c>
      <c r="H31" s="9">
        <v>3574.25</v>
      </c>
      <c r="I31" s="9">
        <v>2000</v>
      </c>
    </row>
    <row r="32" spans="1:11" x14ac:dyDescent="0.25">
      <c r="A32" t="s">
        <v>147</v>
      </c>
      <c r="C32" s="9"/>
      <c r="D32" s="9"/>
      <c r="E32" s="9"/>
      <c r="F32" s="9"/>
      <c r="G32" s="9"/>
      <c r="H32" s="9"/>
      <c r="I32" s="9"/>
    </row>
    <row r="33" spans="1:9" x14ac:dyDescent="0.25">
      <c r="A33" t="s">
        <v>401</v>
      </c>
      <c r="B33" t="s">
        <v>150</v>
      </c>
      <c r="C33" s="9">
        <v>600</v>
      </c>
      <c r="D33" s="9">
        <v>773.24</v>
      </c>
      <c r="E33" s="9">
        <v>600</v>
      </c>
      <c r="F33" s="9">
        <v>1130.21</v>
      </c>
      <c r="G33" s="9">
        <v>600</v>
      </c>
      <c r="H33" s="9">
        <v>1132.29</v>
      </c>
      <c r="I33" s="9">
        <v>300</v>
      </c>
    </row>
    <row r="34" spans="1:9" x14ac:dyDescent="0.25">
      <c r="A34" t="s">
        <v>402</v>
      </c>
      <c r="B34" t="s">
        <v>172</v>
      </c>
      <c r="C34" s="9">
        <v>300</v>
      </c>
      <c r="D34" s="9">
        <v>187.58</v>
      </c>
      <c r="E34" s="9">
        <v>300</v>
      </c>
      <c r="F34" s="9">
        <v>178.81</v>
      </c>
      <c r="G34" s="9">
        <v>300</v>
      </c>
      <c r="H34" s="9">
        <v>168.36</v>
      </c>
      <c r="I34" s="9">
        <v>300</v>
      </c>
    </row>
    <row r="35" spans="1:9" x14ac:dyDescent="0.25">
      <c r="A35" t="s">
        <v>403</v>
      </c>
      <c r="B35" t="s">
        <v>30</v>
      </c>
      <c r="C35" s="9">
        <v>5000</v>
      </c>
      <c r="D35" s="9">
        <v>5636.17</v>
      </c>
      <c r="E35" s="9">
        <v>5000</v>
      </c>
      <c r="F35" s="9">
        <v>4543.6000000000004</v>
      </c>
      <c r="G35" s="9">
        <v>6000</v>
      </c>
      <c r="H35" s="9">
        <v>6843.22</v>
      </c>
      <c r="I35" s="9">
        <v>4500</v>
      </c>
    </row>
    <row r="36" spans="1:9" x14ac:dyDescent="0.25">
      <c r="A36" t="s">
        <v>404</v>
      </c>
      <c r="B36" t="s">
        <v>31</v>
      </c>
      <c r="C36" s="9">
        <v>6000</v>
      </c>
      <c r="D36" s="9">
        <v>5714.38</v>
      </c>
      <c r="E36" s="9">
        <v>5000</v>
      </c>
      <c r="F36" s="9">
        <v>8100.14</v>
      </c>
      <c r="G36" s="9">
        <v>5000</v>
      </c>
      <c r="H36" s="9">
        <v>5644.83</v>
      </c>
      <c r="I36" s="9">
        <v>5000</v>
      </c>
    </row>
    <row r="37" spans="1:9" x14ac:dyDescent="0.25">
      <c r="A37" t="s">
        <v>23</v>
      </c>
      <c r="C37" s="9"/>
      <c r="D37" s="9"/>
      <c r="E37" s="9"/>
      <c r="F37" s="9"/>
      <c r="G37" s="9"/>
      <c r="H37" s="9"/>
      <c r="I37" s="9"/>
    </row>
    <row r="38" spans="1:9" x14ac:dyDescent="0.25">
      <c r="A38" t="s">
        <v>405</v>
      </c>
      <c r="B38" t="s">
        <v>139</v>
      </c>
      <c r="C38" s="9">
        <v>5000</v>
      </c>
      <c r="D38" s="9">
        <v>11683.09</v>
      </c>
      <c r="E38" s="9">
        <v>2000</v>
      </c>
      <c r="F38" s="9">
        <v>5408.84</v>
      </c>
      <c r="G38" s="9">
        <v>2500</v>
      </c>
      <c r="H38" s="9">
        <v>1868.97</v>
      </c>
      <c r="I38" s="9">
        <v>2500</v>
      </c>
    </row>
    <row r="39" spans="1:9" x14ac:dyDescent="0.25">
      <c r="A39" t="s">
        <v>406</v>
      </c>
      <c r="B39" t="s">
        <v>146</v>
      </c>
      <c r="C39" s="9">
        <v>1000</v>
      </c>
      <c r="D39" s="9">
        <v>355.85</v>
      </c>
      <c r="E39" s="9">
        <v>1000</v>
      </c>
      <c r="F39" s="9">
        <f>593.67+51.6+1386.99</f>
        <v>2032.26</v>
      </c>
      <c r="G39" s="9">
        <v>1000</v>
      </c>
      <c r="H39" s="9">
        <v>471.93</v>
      </c>
      <c r="I39" s="9">
        <v>1500</v>
      </c>
    </row>
    <row r="40" spans="1:9" x14ac:dyDescent="0.25">
      <c r="A40" t="s">
        <v>6</v>
      </c>
      <c r="C40" s="9"/>
      <c r="D40" s="9"/>
      <c r="E40" s="9"/>
      <c r="F40" s="9"/>
      <c r="G40" s="9"/>
      <c r="H40" s="9"/>
      <c r="I40" s="9"/>
    </row>
    <row r="41" spans="1:9" x14ac:dyDescent="0.25">
      <c r="A41" t="s">
        <v>407</v>
      </c>
      <c r="B41" t="s">
        <v>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25">
      <c r="A42" t="s">
        <v>408</v>
      </c>
      <c r="B42" t="s">
        <v>763</v>
      </c>
      <c r="C42" s="9">
        <v>15000</v>
      </c>
      <c r="D42" s="9">
        <v>5414</v>
      </c>
      <c r="E42" s="9">
        <v>12000</v>
      </c>
      <c r="F42" s="9">
        <v>6600</v>
      </c>
      <c r="G42" s="9">
        <v>15000</v>
      </c>
      <c r="H42" s="9">
        <v>17388.689999999999</v>
      </c>
      <c r="I42" s="9">
        <v>15000</v>
      </c>
    </row>
    <row r="43" spans="1:9" x14ac:dyDescent="0.25">
      <c r="A43" t="s">
        <v>409</v>
      </c>
      <c r="B43" t="s">
        <v>92</v>
      </c>
      <c r="C43" s="9">
        <v>500</v>
      </c>
      <c r="D43" s="9">
        <v>648</v>
      </c>
      <c r="E43" s="9">
        <v>500</v>
      </c>
      <c r="F43" s="9">
        <v>698.38</v>
      </c>
      <c r="G43" s="9">
        <v>500</v>
      </c>
      <c r="H43" s="9">
        <v>662.25</v>
      </c>
      <c r="I43" s="9">
        <v>500</v>
      </c>
    </row>
    <row r="44" spans="1:9" x14ac:dyDescent="0.25">
      <c r="A44" t="s">
        <v>5</v>
      </c>
      <c r="C44" s="9"/>
      <c r="D44" s="9"/>
      <c r="E44" s="9"/>
      <c r="F44" s="9"/>
      <c r="G44" s="9"/>
      <c r="H44" s="9"/>
      <c r="I44" s="9"/>
    </row>
    <row r="45" spans="1:9" x14ac:dyDescent="0.25">
      <c r="A45" t="s">
        <v>410</v>
      </c>
      <c r="B45" t="s">
        <v>87</v>
      </c>
      <c r="C45" s="9">
        <v>1100</v>
      </c>
      <c r="D45" s="9">
        <v>1051.69</v>
      </c>
      <c r="E45" s="9">
        <v>1100</v>
      </c>
      <c r="F45" s="9">
        <v>1184.0999999999999</v>
      </c>
      <c r="G45" s="9">
        <v>1000</v>
      </c>
      <c r="H45" s="9">
        <v>1273.58</v>
      </c>
      <c r="I45" s="9">
        <v>1000</v>
      </c>
    </row>
    <row r="46" spans="1:9" x14ac:dyDescent="0.25">
      <c r="A46" s="24" t="s">
        <v>690</v>
      </c>
      <c r="B46" s="24" t="s">
        <v>88</v>
      </c>
      <c r="C46" s="49">
        <v>0</v>
      </c>
      <c r="D46" s="49">
        <v>45.14</v>
      </c>
      <c r="E46" s="49">
        <v>0</v>
      </c>
      <c r="F46" s="49">
        <v>0</v>
      </c>
      <c r="G46" s="49">
        <v>0</v>
      </c>
      <c r="H46" s="49">
        <f>13.09+384</f>
        <v>397.09</v>
      </c>
      <c r="I46" s="49">
        <v>0</v>
      </c>
    </row>
    <row r="47" spans="1:9" x14ac:dyDescent="0.25">
      <c r="A47" s="10" t="s">
        <v>126</v>
      </c>
      <c r="C47" s="9"/>
      <c r="D47" s="9"/>
      <c r="E47" s="9"/>
      <c r="F47" s="9"/>
      <c r="G47" s="9"/>
      <c r="H47" s="9"/>
      <c r="I47" s="9"/>
    </row>
    <row r="48" spans="1:9" x14ac:dyDescent="0.25">
      <c r="A48" s="24" t="s">
        <v>778</v>
      </c>
      <c r="B48" s="24" t="s">
        <v>84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</row>
    <row r="49" spans="1:9" x14ac:dyDescent="0.25">
      <c r="A49" t="s">
        <v>411</v>
      </c>
      <c r="B49" t="s">
        <v>128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x14ac:dyDescent="0.25">
      <c r="A50" t="s">
        <v>412</v>
      </c>
      <c r="B50" t="s">
        <v>129</v>
      </c>
      <c r="C50" s="9">
        <v>1500</v>
      </c>
      <c r="D50" s="9">
        <v>1469</v>
      </c>
      <c r="E50" s="9">
        <v>1200</v>
      </c>
      <c r="F50" s="9">
        <v>1131</v>
      </c>
      <c r="G50" s="9">
        <v>900</v>
      </c>
      <c r="H50" s="9">
        <v>838</v>
      </c>
      <c r="I50" s="9">
        <v>500</v>
      </c>
    </row>
    <row r="51" spans="1:9" x14ac:dyDescent="0.25">
      <c r="A51" t="s">
        <v>119</v>
      </c>
      <c r="C51" s="9"/>
      <c r="D51" s="9"/>
      <c r="E51" s="9"/>
      <c r="F51" s="9"/>
      <c r="G51" s="9"/>
      <c r="H51" s="9"/>
      <c r="I51" s="9"/>
    </row>
    <row r="52" spans="1:9" x14ac:dyDescent="0.25">
      <c r="A52" t="s">
        <v>413</v>
      </c>
      <c r="B52" t="s">
        <v>120</v>
      </c>
      <c r="C52" s="9">
        <v>35000</v>
      </c>
      <c r="D52" s="9">
        <v>23565.32</v>
      </c>
      <c r="E52" s="9">
        <v>35000</v>
      </c>
      <c r="F52" s="9">
        <v>32646.34</v>
      </c>
      <c r="G52" s="9">
        <v>35000</v>
      </c>
      <c r="H52" s="9">
        <v>33551.040000000001</v>
      </c>
      <c r="I52" s="9">
        <v>35000</v>
      </c>
    </row>
    <row r="53" spans="1:9" x14ac:dyDescent="0.25">
      <c r="A53" t="s">
        <v>414</v>
      </c>
      <c r="B53" t="s">
        <v>121</v>
      </c>
      <c r="C53" s="9">
        <v>35000</v>
      </c>
      <c r="D53" s="9">
        <v>25972.85</v>
      </c>
      <c r="E53" s="9">
        <v>35000</v>
      </c>
      <c r="F53" s="9">
        <v>36531.58</v>
      </c>
      <c r="G53" s="9">
        <v>30000</v>
      </c>
      <c r="H53" s="9">
        <v>37230.93</v>
      </c>
      <c r="I53" s="9">
        <v>35000</v>
      </c>
    </row>
    <row r="54" spans="1:9" x14ac:dyDescent="0.25">
      <c r="A54" t="s">
        <v>415</v>
      </c>
      <c r="B54" t="s">
        <v>122</v>
      </c>
      <c r="C54" s="9">
        <v>1500</v>
      </c>
      <c r="D54" s="9">
        <v>581.59</v>
      </c>
      <c r="E54" s="9">
        <v>1500</v>
      </c>
      <c r="F54" s="9">
        <v>906.73</v>
      </c>
      <c r="G54" s="9">
        <v>1500</v>
      </c>
      <c r="H54" s="9">
        <v>887.11</v>
      </c>
      <c r="I54" s="9">
        <v>1500</v>
      </c>
    </row>
    <row r="55" spans="1:9" x14ac:dyDescent="0.25">
      <c r="A55" s="24" t="s">
        <v>687</v>
      </c>
      <c r="C55" s="9"/>
      <c r="D55" s="9"/>
      <c r="E55" s="9"/>
      <c r="F55" s="9"/>
      <c r="G55" s="9"/>
      <c r="H55" s="9"/>
      <c r="I55" s="9"/>
    </row>
    <row r="56" spans="1:9" x14ac:dyDescent="0.25">
      <c r="A56" s="24" t="s">
        <v>688</v>
      </c>
      <c r="B56" s="24" t="s">
        <v>871</v>
      </c>
      <c r="C56" s="49">
        <v>35000</v>
      </c>
      <c r="D56" s="49">
        <v>0</v>
      </c>
      <c r="E56" s="49">
        <v>25000</v>
      </c>
      <c r="F56" s="49">
        <v>22500</v>
      </c>
      <c r="G56" s="49">
        <v>22500</v>
      </c>
      <c r="H56" s="49">
        <v>22500</v>
      </c>
      <c r="I56" s="49">
        <v>22500</v>
      </c>
    </row>
    <row r="57" spans="1:9" x14ac:dyDescent="0.25">
      <c r="A57" s="24" t="s">
        <v>490</v>
      </c>
      <c r="B57" s="24"/>
      <c r="C57" s="49"/>
      <c r="D57" s="49"/>
      <c r="E57" s="49"/>
      <c r="F57" s="49"/>
      <c r="G57" s="49"/>
      <c r="H57" s="49"/>
      <c r="I57" s="49"/>
    </row>
    <row r="58" spans="1:9" x14ac:dyDescent="0.25">
      <c r="A58" s="112" t="s">
        <v>947</v>
      </c>
      <c r="B58" s="112" t="s">
        <v>948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</row>
    <row r="59" spans="1:9" x14ac:dyDescent="0.25">
      <c r="A59" s="112" t="s">
        <v>1115</v>
      </c>
      <c r="B59" s="112" t="s">
        <v>1116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v>3097.46</v>
      </c>
      <c r="I59" s="99"/>
    </row>
    <row r="60" spans="1:9" x14ac:dyDescent="0.25">
      <c r="A60" s="24" t="s">
        <v>828</v>
      </c>
      <c r="C60" s="9"/>
      <c r="D60" s="9"/>
      <c r="E60" s="9"/>
      <c r="F60" s="9"/>
      <c r="G60" s="9"/>
      <c r="H60" s="9"/>
      <c r="I60" s="9"/>
    </row>
    <row r="61" spans="1:9" x14ac:dyDescent="0.25">
      <c r="A61" s="24" t="s">
        <v>831</v>
      </c>
      <c r="B61" t="s">
        <v>833</v>
      </c>
      <c r="C61" s="9">
        <v>10800</v>
      </c>
      <c r="D61" s="9">
        <v>10800</v>
      </c>
      <c r="E61" s="9">
        <v>10800</v>
      </c>
      <c r="F61" s="9">
        <v>10800</v>
      </c>
      <c r="G61" s="9">
        <v>10800</v>
      </c>
      <c r="H61" s="9">
        <v>10800</v>
      </c>
      <c r="I61" s="9">
        <v>10800</v>
      </c>
    </row>
    <row r="62" spans="1:9" x14ac:dyDescent="0.25">
      <c r="A62" s="24"/>
      <c r="B62" t="s">
        <v>867</v>
      </c>
      <c r="C62" s="9">
        <v>0</v>
      </c>
      <c r="D62" s="9"/>
      <c r="E62" s="9">
        <v>0</v>
      </c>
      <c r="F62" s="9">
        <v>25000</v>
      </c>
      <c r="G62" s="9">
        <v>25000</v>
      </c>
      <c r="H62" s="9">
        <v>24000</v>
      </c>
      <c r="I62" s="9">
        <v>24000</v>
      </c>
    </row>
    <row r="63" spans="1:9" x14ac:dyDescent="0.25">
      <c r="A63" s="24"/>
      <c r="B63" t="s">
        <v>1396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x14ac:dyDescent="0.25">
      <c r="A64" s="24" t="s">
        <v>832</v>
      </c>
      <c r="B64" t="s">
        <v>830</v>
      </c>
      <c r="C64" s="9">
        <v>3065</v>
      </c>
      <c r="D64" s="9">
        <v>6238</v>
      </c>
      <c r="E64" s="9">
        <v>6238</v>
      </c>
      <c r="F64" s="9">
        <v>6434</v>
      </c>
      <c r="G64" s="9">
        <v>6435</v>
      </c>
      <c r="H64" s="9">
        <v>6109.09</v>
      </c>
      <c r="I64" s="9">
        <v>6599</v>
      </c>
    </row>
    <row r="65" spans="1:9" x14ac:dyDescent="0.25">
      <c r="A65" s="24"/>
      <c r="B65" t="s">
        <v>868</v>
      </c>
      <c r="C65" s="9">
        <v>0</v>
      </c>
      <c r="D65" s="9">
        <v>0</v>
      </c>
      <c r="E65" s="9">
        <v>0</v>
      </c>
      <c r="F65" s="9">
        <v>500</v>
      </c>
      <c r="G65" s="9">
        <v>500</v>
      </c>
      <c r="H65" s="9">
        <v>980</v>
      </c>
      <c r="I65" s="9">
        <v>980</v>
      </c>
    </row>
    <row r="66" spans="1:9" x14ac:dyDescent="0.25">
      <c r="A66" s="24"/>
      <c r="B66" t="s">
        <v>1397</v>
      </c>
      <c r="C66" s="135">
        <v>1800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x14ac:dyDescent="0.25">
      <c r="A67" s="24" t="s">
        <v>1173</v>
      </c>
      <c r="B67" t="s">
        <v>1174</v>
      </c>
      <c r="C67" s="9">
        <v>9091</v>
      </c>
      <c r="D67" s="9">
        <v>0</v>
      </c>
      <c r="E67" s="9">
        <v>9091</v>
      </c>
      <c r="F67" s="9">
        <v>0</v>
      </c>
      <c r="G67" s="9">
        <v>9091.4</v>
      </c>
      <c r="H67" s="9">
        <v>9091</v>
      </c>
      <c r="I67" s="9">
        <v>0</v>
      </c>
    </row>
    <row r="68" spans="1:9" x14ac:dyDescent="0.25">
      <c r="A68" t="s">
        <v>114</v>
      </c>
      <c r="C68" s="9"/>
      <c r="D68" s="9"/>
      <c r="E68" s="9"/>
      <c r="F68" s="9"/>
      <c r="G68" s="9"/>
      <c r="H68" s="9"/>
      <c r="I68" s="9"/>
    </row>
    <row r="69" spans="1:9" x14ac:dyDescent="0.25">
      <c r="A69" t="s">
        <v>416</v>
      </c>
      <c r="B69" t="s">
        <v>115</v>
      </c>
      <c r="C69" s="9">
        <v>5000</v>
      </c>
      <c r="D69" s="9">
        <v>0</v>
      </c>
      <c r="E69" s="9">
        <v>5000</v>
      </c>
      <c r="F69" s="9">
        <v>0</v>
      </c>
      <c r="G69" s="9">
        <v>0</v>
      </c>
      <c r="H69" s="9">
        <v>0</v>
      </c>
      <c r="I69" s="9">
        <v>0</v>
      </c>
    </row>
    <row r="70" spans="1:9" x14ac:dyDescent="0.25">
      <c r="A70" t="s">
        <v>417</v>
      </c>
      <c r="B70" t="s">
        <v>116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</row>
    <row r="71" spans="1:9" x14ac:dyDescent="0.25">
      <c r="A71" t="s">
        <v>418</v>
      </c>
      <c r="B71" s="24" t="s">
        <v>869</v>
      </c>
      <c r="C71" s="49">
        <v>15000</v>
      </c>
      <c r="D71" s="49">
        <v>0</v>
      </c>
      <c r="E71" s="49">
        <v>44000</v>
      </c>
      <c r="F71" s="49">
        <v>3331</v>
      </c>
      <c r="G71" s="49">
        <f>31000</f>
        <v>31000</v>
      </c>
      <c r="H71" s="49">
        <v>279.5</v>
      </c>
      <c r="I71" s="49">
        <f>15000+8000</f>
        <v>23000</v>
      </c>
    </row>
    <row r="72" spans="1:9" x14ac:dyDescent="0.25">
      <c r="A72" t="s">
        <v>419</v>
      </c>
      <c r="B72" t="s">
        <v>118</v>
      </c>
      <c r="C72" s="9">
        <v>0</v>
      </c>
      <c r="D72" s="9">
        <v>0</v>
      </c>
      <c r="E72" s="9">
        <v>0</v>
      </c>
      <c r="F72" s="9">
        <v>0</v>
      </c>
      <c r="G72" s="9">
        <v>10000</v>
      </c>
      <c r="H72" s="9">
        <v>0</v>
      </c>
      <c r="I72" s="9">
        <v>10000</v>
      </c>
    </row>
    <row r="73" spans="1:9" x14ac:dyDescent="0.25">
      <c r="A73" s="24" t="s">
        <v>1311</v>
      </c>
      <c r="B73" s="24" t="s">
        <v>112</v>
      </c>
      <c r="C73" s="9">
        <v>0</v>
      </c>
      <c r="D73" s="9">
        <v>662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</row>
    <row r="74" spans="1:9" x14ac:dyDescent="0.25">
      <c r="A74" s="24" t="s">
        <v>1288</v>
      </c>
      <c r="B74" s="24" t="s">
        <v>1289</v>
      </c>
      <c r="C74" s="49">
        <v>0</v>
      </c>
      <c r="D74" s="9">
        <v>0</v>
      </c>
      <c r="E74" s="9">
        <v>0</v>
      </c>
      <c r="F74" s="9">
        <v>76452</v>
      </c>
      <c r="G74" s="9">
        <v>0</v>
      </c>
      <c r="H74" s="9">
        <v>0</v>
      </c>
      <c r="I74" s="9">
        <v>0</v>
      </c>
    </row>
    <row r="75" spans="1:9" x14ac:dyDescent="0.25">
      <c r="A75" t="s">
        <v>105</v>
      </c>
      <c r="C75" s="9"/>
      <c r="D75" s="9"/>
      <c r="E75" s="9"/>
      <c r="F75" s="9"/>
      <c r="G75" s="9"/>
      <c r="H75" s="9"/>
      <c r="I75" s="9"/>
    </row>
    <row r="76" spans="1:9" x14ac:dyDescent="0.25">
      <c r="A76" t="s">
        <v>420</v>
      </c>
      <c r="B76" t="s">
        <v>91</v>
      </c>
      <c r="C76" s="9">
        <v>3000</v>
      </c>
      <c r="D76" s="9">
        <v>3038.5</v>
      </c>
      <c r="E76" s="9">
        <v>3000</v>
      </c>
      <c r="F76" s="9">
        <v>1541</v>
      </c>
      <c r="G76" s="9">
        <v>3000</v>
      </c>
      <c r="H76" s="9">
        <v>1498</v>
      </c>
      <c r="I76" s="9">
        <v>3000</v>
      </c>
    </row>
    <row r="77" spans="1:9" x14ac:dyDescent="0.25">
      <c r="A77" t="s">
        <v>421</v>
      </c>
      <c r="B77" t="s">
        <v>89</v>
      </c>
      <c r="C77" s="9">
        <v>2500</v>
      </c>
      <c r="D77" s="9">
        <v>0</v>
      </c>
      <c r="E77" s="9">
        <v>2500</v>
      </c>
      <c r="F77" s="9">
        <v>704.35</v>
      </c>
      <c r="G77" s="9">
        <v>2500</v>
      </c>
      <c r="H77" s="9">
        <v>0</v>
      </c>
      <c r="I77" s="9">
        <v>2500</v>
      </c>
    </row>
    <row r="78" spans="1:9" x14ac:dyDescent="0.25">
      <c r="C78" s="9"/>
      <c r="D78" s="9"/>
      <c r="E78" s="9"/>
      <c r="F78" s="9"/>
      <c r="G78" s="9"/>
      <c r="H78" s="9"/>
      <c r="I78" s="9"/>
    </row>
    <row r="79" spans="1:9" x14ac:dyDescent="0.25">
      <c r="B79" s="22" t="s">
        <v>57</v>
      </c>
      <c r="C79" s="21">
        <f>SUM(C20:C77)</f>
        <v>242845.64439999999</v>
      </c>
      <c r="D79" s="21">
        <f>SUM(D20:D77)</f>
        <v>143953.84999999998</v>
      </c>
      <c r="E79" s="21">
        <f t="shared" ref="E79:I79" si="0">SUM(E20:E77)</f>
        <v>256637.11050000001</v>
      </c>
      <c r="F79" s="21">
        <f t="shared" si="0"/>
        <v>295540.69999999995</v>
      </c>
      <c r="G79" s="21">
        <f t="shared" si="0"/>
        <v>265022.68079999997</v>
      </c>
      <c r="H79" s="21">
        <f t="shared" si="0"/>
        <v>231141.52999999997</v>
      </c>
      <c r="I79" s="124">
        <f t="shared" si="0"/>
        <v>246710.41879999998</v>
      </c>
    </row>
    <row r="80" spans="1:9" x14ac:dyDescent="0.25">
      <c r="A80" s="10"/>
      <c r="E80" s="9"/>
      <c r="F80" s="9"/>
    </row>
    <row r="81" spans="1:9" x14ac:dyDescent="0.25">
      <c r="B81" s="43" t="s">
        <v>646</v>
      </c>
      <c r="C81" s="123">
        <v>0</v>
      </c>
      <c r="D81" s="49">
        <v>178214</v>
      </c>
      <c r="E81" s="49">
        <v>0</v>
      </c>
      <c r="F81" s="49">
        <v>233053.86</v>
      </c>
      <c r="G81" s="123">
        <v>0</v>
      </c>
      <c r="H81" s="49">
        <v>228639</v>
      </c>
      <c r="I81" s="123">
        <v>0</v>
      </c>
    </row>
    <row r="84" spans="1:9" x14ac:dyDescent="0.25">
      <c r="A84" s="110" t="s">
        <v>1049</v>
      </c>
    </row>
    <row r="85" spans="1:9" x14ac:dyDescent="0.25">
      <c r="A85" s="24" t="s">
        <v>1056</v>
      </c>
    </row>
    <row r="86" spans="1:9" x14ac:dyDescent="0.25">
      <c r="A86" s="24" t="s">
        <v>939</v>
      </c>
    </row>
    <row r="87" spans="1:9" x14ac:dyDescent="0.25">
      <c r="A87" s="24" t="s">
        <v>940</v>
      </c>
    </row>
    <row r="88" spans="1:9" x14ac:dyDescent="0.25">
      <c r="A88" s="25"/>
    </row>
    <row r="89" spans="1:9" x14ac:dyDescent="0.25">
      <c r="A89" s="110" t="s">
        <v>1109</v>
      </c>
    </row>
    <row r="90" spans="1:9" x14ac:dyDescent="0.25">
      <c r="A90" s="24" t="s">
        <v>1172</v>
      </c>
    </row>
    <row r="91" spans="1:9" x14ac:dyDescent="0.25">
      <c r="A91" s="24" t="s">
        <v>1171</v>
      </c>
    </row>
    <row r="93" spans="1:9" x14ac:dyDescent="0.25">
      <c r="A93" s="110" t="s">
        <v>1125</v>
      </c>
    </row>
    <row r="94" spans="1:9" x14ac:dyDescent="0.25">
      <c r="A94" t="s">
        <v>1221</v>
      </c>
      <c r="B94" s="139"/>
      <c r="C94" s="139"/>
      <c r="D94" s="139"/>
    </row>
    <row r="95" spans="1:9" x14ac:dyDescent="0.25">
      <c r="A95" s="24" t="s">
        <v>1230</v>
      </c>
    </row>
    <row r="96" spans="1:9" x14ac:dyDescent="0.25">
      <c r="A96" t="s">
        <v>1222</v>
      </c>
    </row>
    <row r="97" spans="1:1" x14ac:dyDescent="0.25">
      <c r="A97" t="s">
        <v>1223</v>
      </c>
    </row>
    <row r="98" spans="1:1" x14ac:dyDescent="0.25">
      <c r="A98" s="24"/>
    </row>
    <row r="99" spans="1:1" x14ac:dyDescent="0.25">
      <c r="A99" s="110" t="s">
        <v>1273</v>
      </c>
    </row>
    <row r="100" spans="1:1" x14ac:dyDescent="0.25">
      <c r="A100" s="24" t="s">
        <v>1355</v>
      </c>
    </row>
    <row r="101" spans="1:1" x14ac:dyDescent="0.25">
      <c r="A101" s="24" t="s">
        <v>1356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55"/>
  <sheetViews>
    <sheetView zoomScaleNormal="100" workbookViewId="0">
      <selection activeCell="D20" sqref="D20"/>
    </sheetView>
  </sheetViews>
  <sheetFormatPr defaultRowHeight="13.2" x14ac:dyDescent="0.25"/>
  <cols>
    <col min="1" max="1" width="18.44140625" customWidth="1"/>
    <col min="2" max="2" width="27.5546875" customWidth="1"/>
    <col min="3" max="3" width="6.6640625" customWidth="1"/>
    <col min="4" max="10" width="11.6640625" customWidth="1"/>
  </cols>
  <sheetData>
    <row r="1" spans="1:10" ht="15.6" x14ac:dyDescent="0.3">
      <c r="B1" s="11" t="s">
        <v>786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0" ht="12.75" customHeight="1" x14ac:dyDescent="0.3">
      <c r="A2" t="s">
        <v>39</v>
      </c>
      <c r="B2" s="11"/>
      <c r="D2" s="1" t="s">
        <v>501</v>
      </c>
      <c r="E2" s="1" t="s">
        <v>1370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3" spans="1:10" ht="12.75" customHeight="1" x14ac:dyDescent="0.25">
      <c r="A3" t="s">
        <v>629</v>
      </c>
      <c r="B3" s="24" t="s">
        <v>468</v>
      </c>
      <c r="D3" s="9">
        <v>18000</v>
      </c>
      <c r="E3" s="9">
        <v>14398.08</v>
      </c>
      <c r="F3" s="9">
        <v>18000</v>
      </c>
      <c r="G3" s="9">
        <v>17910.04</v>
      </c>
      <c r="H3" s="9">
        <v>15000</v>
      </c>
      <c r="I3" s="9">
        <v>16474.759999999998</v>
      </c>
      <c r="J3" s="9">
        <v>15000</v>
      </c>
    </row>
    <row r="4" spans="1:10" ht="12.75" customHeight="1" x14ac:dyDescent="0.25">
      <c r="A4" t="s">
        <v>628</v>
      </c>
      <c r="B4" s="24" t="s">
        <v>812</v>
      </c>
      <c r="D4" s="9">
        <v>103000</v>
      </c>
      <c r="E4" s="9">
        <v>0</v>
      </c>
      <c r="F4" s="9">
        <v>103000</v>
      </c>
      <c r="G4" s="9">
        <v>103000</v>
      </c>
      <c r="H4" s="9">
        <v>103000</v>
      </c>
      <c r="I4" s="9">
        <v>103000</v>
      </c>
      <c r="J4" s="9">
        <v>103000</v>
      </c>
    </row>
    <row r="5" spans="1:10" ht="12.75" customHeight="1" x14ac:dyDescent="0.25">
      <c r="A5" s="24" t="s">
        <v>696</v>
      </c>
      <c r="B5" s="24" t="s">
        <v>691</v>
      </c>
      <c r="D5" s="9">
        <v>4000</v>
      </c>
      <c r="E5" s="9">
        <v>1595.61</v>
      </c>
      <c r="F5" s="135">
        <v>4000</v>
      </c>
      <c r="G5" s="9">
        <v>4132.42</v>
      </c>
      <c r="H5" s="9">
        <v>500</v>
      </c>
      <c r="I5" s="9">
        <v>955.6</v>
      </c>
      <c r="J5" s="9">
        <v>500</v>
      </c>
    </row>
    <row r="6" spans="1:10" ht="12.75" customHeight="1" x14ac:dyDescent="0.25">
      <c r="A6" t="s">
        <v>630</v>
      </c>
      <c r="B6" s="24" t="s">
        <v>755</v>
      </c>
      <c r="D6" s="9">
        <v>36000</v>
      </c>
      <c r="E6" s="9">
        <v>36500</v>
      </c>
      <c r="F6" s="9">
        <v>36000</v>
      </c>
      <c r="G6" s="9">
        <v>36000</v>
      </c>
      <c r="H6" s="9">
        <v>36000</v>
      </c>
      <c r="I6" s="9">
        <v>27500</v>
      </c>
      <c r="J6" s="9">
        <v>36000</v>
      </c>
    </row>
    <row r="7" spans="1:10" ht="12.75" customHeight="1" x14ac:dyDescent="0.25">
      <c r="B7" s="24" t="s">
        <v>1135</v>
      </c>
      <c r="D7" s="9">
        <v>8110</v>
      </c>
      <c r="E7" s="9">
        <v>0</v>
      </c>
      <c r="F7" s="9">
        <v>19033</v>
      </c>
      <c r="G7" s="9">
        <v>0</v>
      </c>
      <c r="H7" s="9"/>
      <c r="I7" s="9"/>
      <c r="J7" s="9"/>
    </row>
    <row r="8" spans="1:10" ht="12.75" customHeight="1" x14ac:dyDescent="0.25">
      <c r="A8" s="24"/>
      <c r="B8" s="24"/>
      <c r="D8" s="9"/>
      <c r="E8" s="9"/>
      <c r="F8" s="9"/>
      <c r="G8" s="9"/>
      <c r="H8" s="9"/>
      <c r="I8" s="9"/>
      <c r="J8" s="9"/>
    </row>
    <row r="9" spans="1:10" ht="12.75" customHeight="1" x14ac:dyDescent="0.3">
      <c r="B9" s="11"/>
      <c r="C9" s="24" t="s">
        <v>57</v>
      </c>
      <c r="D9" s="49">
        <f>SUM(D3:D7)</f>
        <v>169110</v>
      </c>
      <c r="E9" s="49">
        <f>SUM(E3:E7)</f>
        <v>52493.69</v>
      </c>
      <c r="F9" s="49">
        <f>F3+F4+F5+F6+F7</f>
        <v>180033</v>
      </c>
      <c r="G9" s="49">
        <f>SUM(G3:G7)</f>
        <v>161042.46000000002</v>
      </c>
      <c r="H9" s="49">
        <f>SUM(H3:H6)</f>
        <v>154500</v>
      </c>
      <c r="I9" s="49">
        <f t="shared" ref="I9:J9" si="0">SUM(I3:I8)</f>
        <v>147930.35999999999</v>
      </c>
      <c r="J9" s="49">
        <f t="shared" si="0"/>
        <v>154500</v>
      </c>
    </row>
    <row r="10" spans="1:10" ht="12.75" customHeight="1" x14ac:dyDescent="0.3">
      <c r="B10" s="11"/>
      <c r="D10" s="9"/>
      <c r="F10" s="9"/>
      <c r="G10" s="9"/>
      <c r="H10" s="9"/>
      <c r="I10" s="9"/>
    </row>
    <row r="11" spans="1:10" x14ac:dyDescent="0.25">
      <c r="A11" t="s">
        <v>77</v>
      </c>
      <c r="D11" s="9"/>
      <c r="F11" s="9"/>
      <c r="G11" s="9"/>
      <c r="H11" s="9"/>
      <c r="I11" s="9"/>
    </row>
    <row r="12" spans="1:10" x14ac:dyDescent="0.25">
      <c r="A12" t="s">
        <v>190</v>
      </c>
      <c r="D12" s="9"/>
      <c r="F12" s="9"/>
      <c r="G12" s="9"/>
      <c r="H12" s="9"/>
      <c r="I12" s="9"/>
    </row>
    <row r="13" spans="1:10" x14ac:dyDescent="0.25">
      <c r="A13" t="s">
        <v>598</v>
      </c>
      <c r="B13" t="s">
        <v>46</v>
      </c>
      <c r="D13" s="9">
        <f>31148+18865.6+11481.6</f>
        <v>61495.199999999997</v>
      </c>
      <c r="E13" s="9">
        <v>47994.27</v>
      </c>
      <c r="F13" s="9">
        <f>29757+18304+12054</f>
        <v>60115</v>
      </c>
      <c r="G13" s="9">
        <v>52312.43</v>
      </c>
      <c r="H13" s="9">
        <f>17430.4+11471.2+28327</f>
        <v>57228.600000000006</v>
      </c>
      <c r="I13" s="9">
        <v>51373.4</v>
      </c>
      <c r="J13" s="9">
        <f>27495+16920.8+11138.4</f>
        <v>55554.200000000004</v>
      </c>
    </row>
    <row r="14" spans="1:10" x14ac:dyDescent="0.25">
      <c r="A14" t="s">
        <v>186</v>
      </c>
      <c r="D14" s="9"/>
      <c r="E14" s="9"/>
      <c r="F14" s="9"/>
      <c r="G14" s="9"/>
      <c r="H14" s="9"/>
      <c r="I14" s="9"/>
      <c r="J14" s="9"/>
    </row>
    <row r="15" spans="1:10" x14ac:dyDescent="0.25">
      <c r="A15" t="s">
        <v>600</v>
      </c>
      <c r="B15" t="s">
        <v>188</v>
      </c>
      <c r="D15" s="9">
        <f>0.075*SUM(D13)</f>
        <v>4612.1399999999994</v>
      </c>
      <c r="E15" s="9">
        <v>3685.88</v>
      </c>
      <c r="F15" s="9">
        <f>0.075*SUM(F13)</f>
        <v>4508.625</v>
      </c>
      <c r="G15" s="9">
        <v>3913.56</v>
      </c>
      <c r="H15" s="9">
        <f>0.075*SUM(H13)</f>
        <v>4292.1450000000004</v>
      </c>
      <c r="I15" s="9">
        <v>3757.65</v>
      </c>
      <c r="J15" s="9">
        <f>J13*0.075</f>
        <v>4166.5650000000005</v>
      </c>
    </row>
    <row r="16" spans="1:10" x14ac:dyDescent="0.25">
      <c r="A16" t="s">
        <v>599</v>
      </c>
      <c r="B16" t="s">
        <v>80</v>
      </c>
      <c r="D16" s="9">
        <f>0.062*SUM(D13)</f>
        <v>3812.7023999999997</v>
      </c>
      <c r="E16" s="9">
        <v>3022.4</v>
      </c>
      <c r="F16" s="9">
        <f>0.062*SUM(F13)</f>
        <v>3727.13</v>
      </c>
      <c r="G16" s="9">
        <v>3207.64</v>
      </c>
      <c r="H16" s="9">
        <f>0.062*SUM(H13)</f>
        <v>3548.1732000000002</v>
      </c>
      <c r="I16" s="9">
        <v>3148.33</v>
      </c>
      <c r="J16" s="9">
        <f>J13*0.062</f>
        <v>3444.3604</v>
      </c>
    </row>
    <row r="17" spans="1:12" x14ac:dyDescent="0.25">
      <c r="A17" t="s">
        <v>601</v>
      </c>
      <c r="B17" t="s">
        <v>82</v>
      </c>
      <c r="D17" s="9">
        <f>0.0145*SUM(D13)</f>
        <v>891.68039999999996</v>
      </c>
      <c r="E17" s="9">
        <v>706.91</v>
      </c>
      <c r="F17" s="9">
        <f>0.0145*SUM(F13)</f>
        <v>871.66750000000002</v>
      </c>
      <c r="G17" s="9">
        <v>750.28</v>
      </c>
      <c r="H17" s="9">
        <f>0.0145*SUM(H13)</f>
        <v>829.81470000000013</v>
      </c>
      <c r="I17" s="9">
        <v>736.41</v>
      </c>
      <c r="J17" s="9">
        <f>0.0145*J13</f>
        <v>805.53590000000008</v>
      </c>
    </row>
    <row r="18" spans="1:12" x14ac:dyDescent="0.25">
      <c r="A18" t="s">
        <v>181</v>
      </c>
      <c r="D18" s="9"/>
      <c r="E18" s="9"/>
      <c r="F18" s="9"/>
      <c r="G18" s="9"/>
      <c r="H18" s="9"/>
      <c r="I18" s="9"/>
      <c r="J18" s="9"/>
      <c r="L18" s="19"/>
    </row>
    <row r="19" spans="1:12" x14ac:dyDescent="0.25">
      <c r="A19" t="s">
        <v>602</v>
      </c>
      <c r="B19" t="s">
        <v>183</v>
      </c>
      <c r="D19" s="9">
        <f>(1500*12)*0.625</f>
        <v>11250</v>
      </c>
      <c r="E19" s="9">
        <v>5682.38</v>
      </c>
      <c r="F19" s="9">
        <v>14250</v>
      </c>
      <c r="G19" s="9">
        <v>5814.48</v>
      </c>
      <c r="H19" s="9">
        <f>(950*12)*0.625</f>
        <v>7125</v>
      </c>
      <c r="I19" s="9">
        <v>5639.52</v>
      </c>
      <c r="J19" s="9">
        <f>(900*12)*0.625</f>
        <v>6750</v>
      </c>
    </row>
    <row r="20" spans="1:12" x14ac:dyDescent="0.25">
      <c r="A20" t="s">
        <v>603</v>
      </c>
      <c r="B20" t="s">
        <v>185</v>
      </c>
      <c r="D20" s="9">
        <v>637.5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2" x14ac:dyDescent="0.25">
      <c r="A21" t="s">
        <v>42</v>
      </c>
      <c r="D21" s="9"/>
      <c r="E21" s="9"/>
      <c r="F21" s="9"/>
      <c r="G21" s="9"/>
      <c r="H21" s="9"/>
      <c r="I21" s="9"/>
      <c r="J21" s="9"/>
    </row>
    <row r="22" spans="1:12" x14ac:dyDescent="0.25">
      <c r="A22" t="s">
        <v>604</v>
      </c>
      <c r="B22" t="s">
        <v>180</v>
      </c>
      <c r="D22" s="9">
        <v>400</v>
      </c>
      <c r="E22" s="9">
        <v>349</v>
      </c>
      <c r="F22" s="9">
        <v>425</v>
      </c>
      <c r="G22" s="9">
        <v>427</v>
      </c>
      <c r="H22" s="9">
        <v>425</v>
      </c>
      <c r="I22" s="9">
        <v>400.84</v>
      </c>
      <c r="J22" s="9">
        <v>425</v>
      </c>
    </row>
    <row r="23" spans="1:12" x14ac:dyDescent="0.25">
      <c r="A23" t="s">
        <v>610</v>
      </c>
      <c r="D23" s="9"/>
      <c r="E23" s="9"/>
      <c r="F23" s="9"/>
      <c r="G23" s="9"/>
      <c r="H23" s="9"/>
      <c r="I23" s="9"/>
      <c r="J23" s="9"/>
    </row>
    <row r="24" spans="1:12" x14ac:dyDescent="0.25">
      <c r="A24" t="s">
        <v>611</v>
      </c>
      <c r="B24" t="s">
        <v>523</v>
      </c>
      <c r="D24" s="9">
        <v>75</v>
      </c>
      <c r="E24" s="9">
        <v>0</v>
      </c>
      <c r="F24" s="9">
        <v>75</v>
      </c>
      <c r="G24" s="9">
        <v>0</v>
      </c>
      <c r="H24" s="9">
        <v>75</v>
      </c>
      <c r="I24" s="9">
        <v>0</v>
      </c>
      <c r="J24" s="9">
        <v>75</v>
      </c>
    </row>
    <row r="25" spans="1:12" x14ac:dyDescent="0.25">
      <c r="A25" t="s">
        <v>612</v>
      </c>
      <c r="B25" t="s">
        <v>34</v>
      </c>
      <c r="D25" s="9">
        <v>200</v>
      </c>
      <c r="E25" s="9">
        <v>0</v>
      </c>
      <c r="F25" s="9">
        <v>200</v>
      </c>
      <c r="G25" s="9">
        <v>0</v>
      </c>
      <c r="H25" s="9">
        <v>200</v>
      </c>
      <c r="I25" s="9">
        <v>0</v>
      </c>
      <c r="J25" s="9">
        <v>200</v>
      </c>
    </row>
    <row r="26" spans="1:12" x14ac:dyDescent="0.25">
      <c r="A26" t="s">
        <v>613</v>
      </c>
      <c r="B26" t="s">
        <v>614</v>
      </c>
      <c r="D26" s="9">
        <v>200</v>
      </c>
      <c r="E26" s="9">
        <v>0</v>
      </c>
      <c r="F26" s="9">
        <v>200</v>
      </c>
      <c r="G26" s="9">
        <v>151.55000000000001</v>
      </c>
      <c r="H26" s="9">
        <v>200</v>
      </c>
      <c r="I26" s="9">
        <v>35.840000000000003</v>
      </c>
      <c r="J26" s="9">
        <v>200</v>
      </c>
    </row>
    <row r="27" spans="1:12" x14ac:dyDescent="0.25">
      <c r="A27" t="s">
        <v>615</v>
      </c>
      <c r="B27" t="s">
        <v>540</v>
      </c>
      <c r="D27" s="9">
        <v>388</v>
      </c>
      <c r="E27" s="9">
        <v>77.2</v>
      </c>
      <c r="F27" s="9">
        <v>388</v>
      </c>
      <c r="G27" s="9">
        <v>0</v>
      </c>
      <c r="H27" s="9">
        <v>388</v>
      </c>
      <c r="I27" s="9">
        <v>0</v>
      </c>
      <c r="J27" s="9">
        <v>388</v>
      </c>
    </row>
    <row r="28" spans="1:12" x14ac:dyDescent="0.25">
      <c r="A28" t="s">
        <v>616</v>
      </c>
      <c r="D28" s="9"/>
      <c r="E28" s="9"/>
      <c r="F28" s="9"/>
      <c r="G28" s="9"/>
      <c r="H28" s="9"/>
      <c r="I28" s="9"/>
      <c r="J28" s="9"/>
    </row>
    <row r="29" spans="1:12" x14ac:dyDescent="0.25">
      <c r="A29" t="s">
        <v>617</v>
      </c>
      <c r="B29" t="s">
        <v>540</v>
      </c>
      <c r="D29" s="9">
        <v>800</v>
      </c>
      <c r="E29" s="9">
        <v>1458.49</v>
      </c>
      <c r="F29" s="9">
        <v>800</v>
      </c>
      <c r="G29" s="9">
        <v>1282.8900000000001</v>
      </c>
      <c r="H29" s="9">
        <v>800</v>
      </c>
      <c r="I29" s="9">
        <f>1015+24</f>
        <v>1039</v>
      </c>
      <c r="J29" s="9">
        <v>800</v>
      </c>
    </row>
    <row r="30" spans="1:12" x14ac:dyDescent="0.25">
      <c r="A30" t="s">
        <v>593</v>
      </c>
      <c r="D30" s="9"/>
      <c r="E30" s="9"/>
      <c r="F30" s="9"/>
      <c r="G30" s="9"/>
      <c r="H30" s="9"/>
      <c r="I30" s="9"/>
      <c r="J30" s="9"/>
    </row>
    <row r="31" spans="1:12" x14ac:dyDescent="0.25">
      <c r="A31" t="s">
        <v>605</v>
      </c>
      <c r="B31" t="s">
        <v>8</v>
      </c>
      <c r="D31" s="9">
        <v>1950</v>
      </c>
      <c r="E31" s="9">
        <v>1950</v>
      </c>
      <c r="F31" s="9">
        <v>1950</v>
      </c>
      <c r="G31" s="9">
        <v>1700</v>
      </c>
      <c r="H31" s="9">
        <v>1950</v>
      </c>
      <c r="I31" s="9">
        <v>0</v>
      </c>
      <c r="J31" s="9">
        <v>1950</v>
      </c>
    </row>
    <row r="32" spans="1:12" x14ac:dyDescent="0.25">
      <c r="A32" t="s">
        <v>5</v>
      </c>
      <c r="D32" s="9"/>
      <c r="E32" s="9"/>
      <c r="F32" s="9"/>
      <c r="G32" s="9"/>
      <c r="H32" s="9"/>
      <c r="I32" s="9"/>
      <c r="J32" s="9"/>
    </row>
    <row r="33" spans="1:10" x14ac:dyDescent="0.25">
      <c r="A33" t="s">
        <v>623</v>
      </c>
      <c r="B33" t="s">
        <v>87</v>
      </c>
      <c r="D33" s="9">
        <v>1000</v>
      </c>
      <c r="E33" s="9">
        <v>374.35</v>
      </c>
      <c r="F33" s="9">
        <v>1000</v>
      </c>
      <c r="G33" s="9">
        <v>553.72</v>
      </c>
      <c r="H33" s="9">
        <v>1000</v>
      </c>
      <c r="I33" s="9">
        <v>517.14</v>
      </c>
      <c r="J33" s="9">
        <v>1000</v>
      </c>
    </row>
    <row r="34" spans="1:10" x14ac:dyDescent="0.25">
      <c r="A34" t="s">
        <v>134</v>
      </c>
      <c r="D34" s="9"/>
      <c r="E34" s="9"/>
      <c r="F34" s="9"/>
      <c r="G34" s="9"/>
      <c r="H34" s="9"/>
      <c r="I34" s="9"/>
      <c r="J34" s="9"/>
    </row>
    <row r="35" spans="1:10" x14ac:dyDescent="0.25">
      <c r="A35" t="s">
        <v>624</v>
      </c>
      <c r="B35" t="s">
        <v>135</v>
      </c>
      <c r="D35" s="9">
        <v>260</v>
      </c>
      <c r="E35" s="9">
        <v>0</v>
      </c>
      <c r="F35" s="9">
        <v>260</v>
      </c>
      <c r="G35" s="9">
        <v>0</v>
      </c>
      <c r="H35" s="9">
        <v>260</v>
      </c>
      <c r="I35" s="9">
        <v>0</v>
      </c>
      <c r="J35" s="9">
        <v>260</v>
      </c>
    </row>
    <row r="36" spans="1:10" x14ac:dyDescent="0.25">
      <c r="A36" s="10" t="s">
        <v>126</v>
      </c>
      <c r="D36" s="9"/>
      <c r="E36" s="9"/>
      <c r="F36" s="9"/>
      <c r="G36" s="9"/>
      <c r="H36" s="9"/>
      <c r="I36" s="9"/>
      <c r="J36" s="9"/>
    </row>
    <row r="37" spans="1:10" x14ac:dyDescent="0.25">
      <c r="A37" t="s">
        <v>606</v>
      </c>
      <c r="B37" t="s">
        <v>128</v>
      </c>
      <c r="D37" s="9">
        <v>900</v>
      </c>
      <c r="E37" s="9">
        <v>1213</v>
      </c>
      <c r="F37" s="9">
        <v>900</v>
      </c>
      <c r="G37" s="9">
        <v>936</v>
      </c>
      <c r="H37" s="9">
        <v>900</v>
      </c>
      <c r="I37" s="9">
        <v>1020</v>
      </c>
      <c r="J37" s="9">
        <v>898</v>
      </c>
    </row>
    <row r="38" spans="1:10" x14ac:dyDescent="0.25">
      <c r="A38" t="s">
        <v>490</v>
      </c>
      <c r="D38" s="9"/>
      <c r="E38" s="9"/>
      <c r="F38" s="9"/>
      <c r="G38" s="9"/>
      <c r="H38" s="9"/>
      <c r="I38" s="9"/>
      <c r="J38" s="9"/>
    </row>
    <row r="39" spans="1:10" x14ac:dyDescent="0.25">
      <c r="A39" t="s">
        <v>625</v>
      </c>
      <c r="B39" t="s">
        <v>626</v>
      </c>
      <c r="D39" s="9">
        <v>6000</v>
      </c>
      <c r="E39" s="9">
        <v>0</v>
      </c>
      <c r="F39" s="9">
        <v>6000</v>
      </c>
      <c r="G39" s="9">
        <v>0</v>
      </c>
      <c r="H39" s="9">
        <v>6000</v>
      </c>
      <c r="I39" s="9">
        <v>2245</v>
      </c>
      <c r="J39" s="9">
        <v>6000</v>
      </c>
    </row>
    <row r="40" spans="1:10" x14ac:dyDescent="0.25">
      <c r="A40" t="s">
        <v>627</v>
      </c>
      <c r="D40" s="9"/>
      <c r="E40" s="9"/>
      <c r="F40" s="9"/>
      <c r="G40" s="9"/>
      <c r="H40" s="9"/>
      <c r="I40" s="9"/>
      <c r="J40" s="9"/>
    </row>
    <row r="41" spans="1:10" x14ac:dyDescent="0.25">
      <c r="A41" t="s">
        <v>648</v>
      </c>
      <c r="B41" t="s">
        <v>649</v>
      </c>
      <c r="D41" s="9">
        <v>5000</v>
      </c>
      <c r="E41" s="9">
        <v>1887</v>
      </c>
      <c r="F41" s="9">
        <v>5000</v>
      </c>
      <c r="G41" s="9">
        <v>3774</v>
      </c>
      <c r="H41" s="9">
        <v>5000</v>
      </c>
      <c r="I41" s="9">
        <v>3602</v>
      </c>
      <c r="J41" s="9">
        <v>5000</v>
      </c>
    </row>
    <row r="42" spans="1:10" x14ac:dyDescent="0.25">
      <c r="A42" t="s">
        <v>110</v>
      </c>
      <c r="D42" s="9"/>
      <c r="E42" s="9"/>
      <c r="F42" s="9"/>
      <c r="G42" s="9"/>
      <c r="H42" s="9"/>
      <c r="I42" s="9"/>
      <c r="J42" s="9"/>
    </row>
    <row r="43" spans="1:10" x14ac:dyDescent="0.25">
      <c r="A43" t="s">
        <v>607</v>
      </c>
      <c r="B43" t="s">
        <v>111</v>
      </c>
      <c r="D43" s="9">
        <v>700</v>
      </c>
      <c r="E43" s="9">
        <v>0</v>
      </c>
      <c r="F43" s="9">
        <v>700</v>
      </c>
      <c r="G43" s="9">
        <v>0</v>
      </c>
      <c r="H43" s="9">
        <v>700</v>
      </c>
      <c r="I43" s="9">
        <v>0</v>
      </c>
      <c r="J43" s="9">
        <v>700</v>
      </c>
    </row>
    <row r="44" spans="1:10" x14ac:dyDescent="0.25">
      <c r="A44" t="s">
        <v>608</v>
      </c>
      <c r="B44" t="s">
        <v>113</v>
      </c>
      <c r="D44" s="9">
        <v>46980</v>
      </c>
      <c r="E44" s="9">
        <v>24300</v>
      </c>
      <c r="F44" s="9">
        <v>46980</v>
      </c>
      <c r="G44" s="9">
        <v>32400</v>
      </c>
      <c r="H44" s="9">
        <v>46980</v>
      </c>
      <c r="I44" s="9">
        <v>32400</v>
      </c>
      <c r="J44" s="9">
        <f>31980+15000</f>
        <v>46980</v>
      </c>
    </row>
    <row r="45" spans="1:10" x14ac:dyDescent="0.25">
      <c r="A45" t="s">
        <v>609</v>
      </c>
      <c r="B45" t="s">
        <v>92</v>
      </c>
      <c r="D45" s="9">
        <v>13342</v>
      </c>
      <c r="E45" s="9">
        <v>5645</v>
      </c>
      <c r="F45" s="9">
        <v>13342</v>
      </c>
      <c r="G45" s="9">
        <v>7793</v>
      </c>
      <c r="H45" s="9">
        <v>13342</v>
      </c>
      <c r="I45" s="9">
        <v>7737</v>
      </c>
      <c r="J45" s="9">
        <v>13342</v>
      </c>
    </row>
    <row r="46" spans="1:10" x14ac:dyDescent="0.25">
      <c r="A46" t="s">
        <v>575</v>
      </c>
      <c r="D46" s="9"/>
      <c r="E46" s="9"/>
      <c r="F46" s="9"/>
      <c r="G46" s="9"/>
      <c r="H46" s="9"/>
      <c r="I46" s="9"/>
      <c r="J46" s="9"/>
    </row>
    <row r="47" spans="1:10" x14ac:dyDescent="0.25">
      <c r="A47" t="s">
        <v>618</v>
      </c>
      <c r="B47" t="s">
        <v>619</v>
      </c>
      <c r="D47" s="9">
        <v>4841</v>
      </c>
      <c r="E47" s="9">
        <v>5504.45</v>
      </c>
      <c r="F47" s="9">
        <v>4841</v>
      </c>
      <c r="G47" s="9">
        <v>5941.16</v>
      </c>
      <c r="H47" s="9">
        <v>4841</v>
      </c>
      <c r="I47" s="9">
        <v>5527.71</v>
      </c>
      <c r="J47" s="9">
        <v>4841</v>
      </c>
    </row>
    <row r="48" spans="1:10" x14ac:dyDescent="0.25">
      <c r="A48" t="s">
        <v>620</v>
      </c>
      <c r="B48" t="s">
        <v>90</v>
      </c>
      <c r="D48" s="9">
        <v>12000</v>
      </c>
      <c r="E48" s="9">
        <v>4000.83</v>
      </c>
      <c r="F48" s="9">
        <v>12000</v>
      </c>
      <c r="G48" s="9">
        <v>9211.48</v>
      </c>
      <c r="H48" s="9">
        <v>12000</v>
      </c>
      <c r="I48" s="9">
        <v>10482.219999999999</v>
      </c>
      <c r="J48" s="9">
        <v>12000</v>
      </c>
    </row>
    <row r="49" spans="1:11" x14ac:dyDescent="0.25">
      <c r="A49" t="s">
        <v>621</v>
      </c>
      <c r="B49" t="s">
        <v>89</v>
      </c>
      <c r="D49" s="9">
        <v>500</v>
      </c>
      <c r="E49" s="9">
        <v>0</v>
      </c>
      <c r="F49" s="9">
        <v>500</v>
      </c>
      <c r="G49" s="9">
        <v>223.65</v>
      </c>
      <c r="H49" s="9">
        <v>500</v>
      </c>
      <c r="I49" s="9">
        <v>528.65</v>
      </c>
      <c r="J49" s="9">
        <v>500</v>
      </c>
    </row>
    <row r="50" spans="1:11" x14ac:dyDescent="0.25">
      <c r="A50" t="s">
        <v>622</v>
      </c>
      <c r="B50" t="s">
        <v>531</v>
      </c>
      <c r="D50" s="9">
        <v>1000</v>
      </c>
      <c r="E50" s="9">
        <v>0</v>
      </c>
      <c r="F50" s="9">
        <v>1000</v>
      </c>
      <c r="G50" s="9">
        <v>34</v>
      </c>
      <c r="H50" s="9">
        <v>1000</v>
      </c>
      <c r="I50" s="9">
        <v>0</v>
      </c>
      <c r="J50" s="9">
        <v>1000</v>
      </c>
    </row>
    <row r="51" spans="1:11" x14ac:dyDescent="0.25">
      <c r="D51" s="9"/>
      <c r="E51" s="9"/>
      <c r="F51" s="9"/>
      <c r="G51" s="9"/>
      <c r="H51" s="9"/>
      <c r="I51" s="9"/>
      <c r="J51" s="9"/>
    </row>
    <row r="52" spans="1:11" x14ac:dyDescent="0.25">
      <c r="C52" t="s">
        <v>57</v>
      </c>
      <c r="D52" s="9">
        <f>SUM(D13:D51)</f>
        <v>179235.22279999999</v>
      </c>
      <c r="E52" s="9">
        <f>SUM(E13:E50)</f>
        <v>107851.15999999999</v>
      </c>
      <c r="F52" s="9">
        <f>SUM(F13:F51)</f>
        <v>180033.42249999999</v>
      </c>
      <c r="G52" s="9">
        <f>SUM(G13:G50)</f>
        <v>130426.84</v>
      </c>
      <c r="H52" s="9">
        <f>SUM(H13:H50)</f>
        <v>169584.7329</v>
      </c>
      <c r="I52" s="9">
        <f>SUM(I13:I50)</f>
        <v>130190.71</v>
      </c>
      <c r="J52" s="9">
        <f t="shared" ref="J52" si="1">SUM(J13:J51)</f>
        <v>167279.66130000001</v>
      </c>
    </row>
    <row r="53" spans="1:11" x14ac:dyDescent="0.25">
      <c r="A53" s="10"/>
      <c r="F53" s="9"/>
      <c r="G53" s="9"/>
    </row>
    <row r="54" spans="1:11" x14ac:dyDescent="0.25">
      <c r="B54" t="s">
        <v>639</v>
      </c>
      <c r="F54" s="9"/>
      <c r="G54" s="9"/>
      <c r="H54" s="9">
        <v>84740</v>
      </c>
      <c r="J54" s="9">
        <v>84740</v>
      </c>
      <c r="K54" s="24"/>
    </row>
    <row r="55" spans="1:11" x14ac:dyDescent="0.25">
      <c r="B55" s="24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03"/>
  <sheetViews>
    <sheetView workbookViewId="0">
      <selection activeCell="N10" sqref="N10"/>
    </sheetView>
  </sheetViews>
  <sheetFormatPr defaultRowHeight="13.2" x14ac:dyDescent="0.25"/>
  <cols>
    <col min="1" max="1" width="18.33203125" customWidth="1"/>
    <col min="2" max="2" width="27.5546875" customWidth="1"/>
    <col min="3" max="3" width="6.6640625" customWidth="1"/>
    <col min="4" max="9" width="11.6640625" customWidth="1"/>
    <col min="10" max="11" width="10.6640625" customWidth="1"/>
  </cols>
  <sheetData>
    <row r="1" spans="1:11" ht="15.6" x14ac:dyDescent="0.3">
      <c r="B1" s="11" t="s">
        <v>3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</row>
    <row r="2" spans="1:11" x14ac:dyDescent="0.25">
      <c r="A2" t="s">
        <v>39</v>
      </c>
      <c r="D2" s="1" t="s">
        <v>501</v>
      </c>
      <c r="E2" s="1" t="s">
        <v>1370</v>
      </c>
      <c r="F2" s="36" t="s">
        <v>501</v>
      </c>
      <c r="G2" s="36" t="s">
        <v>794</v>
      </c>
      <c r="H2" s="36" t="s">
        <v>501</v>
      </c>
      <c r="I2" s="36" t="s">
        <v>794</v>
      </c>
    </row>
    <row r="3" spans="1:11" x14ac:dyDescent="0.25">
      <c r="A3" t="s">
        <v>938</v>
      </c>
      <c r="B3" t="s">
        <v>838</v>
      </c>
      <c r="D3" s="9">
        <v>500</v>
      </c>
      <c r="E3" s="9">
        <v>130.43</v>
      </c>
      <c r="F3" s="9">
        <v>500</v>
      </c>
      <c r="G3" s="9">
        <f>1022.38+133</f>
        <v>1155.3800000000001</v>
      </c>
      <c r="H3" s="9">
        <v>500</v>
      </c>
      <c r="I3" s="9">
        <v>571.78</v>
      </c>
    </row>
    <row r="4" spans="1:11" x14ac:dyDescent="0.25">
      <c r="A4" s="24" t="s">
        <v>779</v>
      </c>
      <c r="B4" s="24" t="s">
        <v>782</v>
      </c>
      <c r="D4" s="9">
        <v>3000</v>
      </c>
      <c r="E4" s="9">
        <v>543.04</v>
      </c>
      <c r="F4" s="34">
        <v>3000</v>
      </c>
      <c r="G4" s="9">
        <v>2690.98</v>
      </c>
      <c r="H4" s="9">
        <v>2500</v>
      </c>
      <c r="I4" s="9">
        <v>2528.44</v>
      </c>
    </row>
    <row r="5" spans="1:11" x14ac:dyDescent="0.25">
      <c r="A5" s="24" t="s">
        <v>780</v>
      </c>
      <c r="B5" s="24" t="s">
        <v>781</v>
      </c>
      <c r="D5" s="9">
        <v>500</v>
      </c>
      <c r="E5" s="9">
        <v>163.79</v>
      </c>
      <c r="F5" s="34">
        <v>500</v>
      </c>
      <c r="G5" s="9">
        <v>557.9</v>
      </c>
      <c r="H5" s="9">
        <v>400</v>
      </c>
      <c r="I5" s="9">
        <v>386.55</v>
      </c>
    </row>
    <row r="6" spans="1:11" x14ac:dyDescent="0.25">
      <c r="A6" s="24" t="s">
        <v>783</v>
      </c>
      <c r="B6" s="24" t="s">
        <v>784</v>
      </c>
      <c r="D6" s="9">
        <v>600</v>
      </c>
      <c r="E6" s="9">
        <v>0</v>
      </c>
      <c r="F6" s="34">
        <v>600</v>
      </c>
      <c r="G6" s="9">
        <v>150</v>
      </c>
      <c r="H6" s="9">
        <v>300</v>
      </c>
      <c r="I6" s="9">
        <v>200</v>
      </c>
    </row>
    <row r="7" spans="1:11" x14ac:dyDescent="0.25">
      <c r="A7" s="24" t="s">
        <v>857</v>
      </c>
      <c r="B7" s="24" t="s">
        <v>858</v>
      </c>
      <c r="D7" s="9">
        <v>300</v>
      </c>
      <c r="E7" s="9">
        <v>-65</v>
      </c>
      <c r="F7" s="34">
        <v>300</v>
      </c>
      <c r="G7" s="9">
        <v>-20.77</v>
      </c>
      <c r="H7" s="9">
        <v>300</v>
      </c>
      <c r="I7" s="9">
        <v>280</v>
      </c>
    </row>
    <row r="8" spans="1:11" x14ac:dyDescent="0.25">
      <c r="A8" t="s">
        <v>158</v>
      </c>
      <c r="B8" t="s">
        <v>159</v>
      </c>
      <c r="D8" s="9">
        <v>1000</v>
      </c>
      <c r="E8" s="9">
        <v>261.44</v>
      </c>
      <c r="F8" s="34">
        <v>1000</v>
      </c>
      <c r="G8" s="9">
        <v>391.78</v>
      </c>
      <c r="H8" s="9">
        <v>3000</v>
      </c>
      <c r="I8" s="9">
        <v>571</v>
      </c>
    </row>
    <row r="9" spans="1:11" x14ac:dyDescent="0.25">
      <c r="A9" t="s">
        <v>160</v>
      </c>
      <c r="B9" t="s">
        <v>161</v>
      </c>
      <c r="D9" s="9">
        <v>35000</v>
      </c>
      <c r="E9" s="9">
        <v>6937.59</v>
      </c>
      <c r="F9" s="34">
        <v>35000</v>
      </c>
      <c r="G9" s="9">
        <v>29736.97</v>
      </c>
      <c r="H9" s="9">
        <v>40000</v>
      </c>
      <c r="I9" s="9">
        <v>37431.71</v>
      </c>
    </row>
    <row r="10" spans="1:11" x14ac:dyDescent="0.25">
      <c r="A10" t="s">
        <v>162</v>
      </c>
      <c r="B10" t="s">
        <v>163</v>
      </c>
      <c r="D10" s="9">
        <v>80000</v>
      </c>
      <c r="E10" s="9">
        <v>94374.23</v>
      </c>
      <c r="F10" s="34">
        <v>80000</v>
      </c>
      <c r="G10" s="9">
        <v>84023.28</v>
      </c>
      <c r="H10" s="9">
        <v>60000</v>
      </c>
      <c r="I10" s="9">
        <v>80796.02</v>
      </c>
    </row>
    <row r="11" spans="1:11" x14ac:dyDescent="0.25">
      <c r="A11" t="s">
        <v>164</v>
      </c>
      <c r="B11" t="s">
        <v>165</v>
      </c>
      <c r="D11" s="9">
        <v>66219</v>
      </c>
      <c r="E11" s="9">
        <v>18480.91</v>
      </c>
      <c r="F11" s="34">
        <v>75000</v>
      </c>
      <c r="G11" s="9">
        <v>74112.7</v>
      </c>
      <c r="H11" s="9">
        <v>65000</v>
      </c>
      <c r="I11" s="9">
        <v>74866.27</v>
      </c>
    </row>
    <row r="12" spans="1:11" x14ac:dyDescent="0.25">
      <c r="A12" t="s">
        <v>166</v>
      </c>
      <c r="B12" t="s">
        <v>167</v>
      </c>
      <c r="D12" s="9">
        <v>220000</v>
      </c>
      <c r="E12" s="9">
        <v>219931.13</v>
      </c>
      <c r="F12" s="34">
        <v>220000</v>
      </c>
      <c r="G12" s="9">
        <v>205720.42</v>
      </c>
      <c r="H12" s="9">
        <v>220000</v>
      </c>
      <c r="I12" s="9">
        <v>193538.7</v>
      </c>
    </row>
    <row r="13" spans="1:11" x14ac:dyDescent="0.25">
      <c r="A13" t="s">
        <v>168</v>
      </c>
      <c r="B13" t="s">
        <v>169</v>
      </c>
      <c r="D13" s="9">
        <v>10000</v>
      </c>
      <c r="E13" s="9">
        <v>4284.1400000000003</v>
      </c>
      <c r="F13" s="34">
        <v>10000</v>
      </c>
      <c r="G13" s="9">
        <v>6942.06</v>
      </c>
      <c r="H13" s="9">
        <v>10000</v>
      </c>
      <c r="I13" s="9">
        <v>7280.46</v>
      </c>
    </row>
    <row r="14" spans="1:11" x14ac:dyDescent="0.25">
      <c r="A14" t="s">
        <v>170</v>
      </c>
      <c r="B14" t="s">
        <v>171</v>
      </c>
      <c r="D14" s="9">
        <v>25000</v>
      </c>
      <c r="E14" s="9">
        <v>20765.150000000001</v>
      </c>
      <c r="F14" s="34">
        <v>25000</v>
      </c>
      <c r="G14" s="9">
        <v>26304.7</v>
      </c>
      <c r="H14" s="9">
        <v>22000</v>
      </c>
      <c r="I14" s="9">
        <v>27512.12</v>
      </c>
    </row>
    <row r="15" spans="1:11" x14ac:dyDescent="0.25">
      <c r="B15" s="25"/>
      <c r="D15" s="9"/>
      <c r="E15" s="9"/>
      <c r="F15" s="34"/>
      <c r="G15" s="9"/>
      <c r="H15" s="9"/>
      <c r="I15" s="9"/>
    </row>
    <row r="16" spans="1:11" x14ac:dyDescent="0.25">
      <c r="A16" t="s">
        <v>570</v>
      </c>
      <c r="B16" s="22" t="s">
        <v>57</v>
      </c>
      <c r="D16" s="9">
        <f>SUM(D3:D14)</f>
        <v>442119</v>
      </c>
      <c r="E16" s="9">
        <f>SUM(E3:E14)</f>
        <v>365806.85000000003</v>
      </c>
      <c r="F16" s="34">
        <f>SUM(F3:F14)</f>
        <v>450900</v>
      </c>
      <c r="G16" s="9">
        <f>SUM(G3:G14)</f>
        <v>431765.4</v>
      </c>
      <c r="H16" s="9">
        <f>SUM(H3:H14)</f>
        <v>424000</v>
      </c>
      <c r="I16" s="9">
        <f>SUM(I3:I15)</f>
        <v>425963.05000000005</v>
      </c>
      <c r="K16" s="19"/>
    </row>
    <row r="17" spans="1:11" x14ac:dyDescent="0.25">
      <c r="A17" t="s">
        <v>190</v>
      </c>
      <c r="D17" s="9"/>
      <c r="E17" s="9"/>
      <c r="F17" s="34"/>
      <c r="G17" s="9"/>
      <c r="H17" s="9"/>
      <c r="K17" s="9"/>
    </row>
    <row r="18" spans="1:11" x14ac:dyDescent="0.25">
      <c r="A18" t="s">
        <v>422</v>
      </c>
      <c r="B18" t="s">
        <v>96</v>
      </c>
      <c r="D18" s="9">
        <v>46966.400000000001</v>
      </c>
      <c r="E18" s="9">
        <v>36578.400000000001</v>
      </c>
      <c r="F18" s="34">
        <v>38022.400000000001</v>
      </c>
      <c r="G18" s="9">
        <v>37461.599999999999</v>
      </c>
      <c r="H18" s="9">
        <f>2080*17.57</f>
        <v>36545.599999999999</v>
      </c>
      <c r="I18" s="9">
        <v>35953.760000000002</v>
      </c>
    </row>
    <row r="19" spans="1:11" x14ac:dyDescent="0.25">
      <c r="A19" t="s">
        <v>423</v>
      </c>
      <c r="B19" t="s">
        <v>46</v>
      </c>
      <c r="D19" s="9">
        <v>45000</v>
      </c>
      <c r="E19" s="9">
        <v>29303.91</v>
      </c>
      <c r="F19" s="34">
        <v>45000</v>
      </c>
      <c r="G19" s="9">
        <v>45085.45</v>
      </c>
      <c r="H19" s="9">
        <v>40000</v>
      </c>
      <c r="I19" s="9">
        <v>44543.86</v>
      </c>
    </row>
    <row r="20" spans="1:11" x14ac:dyDescent="0.25">
      <c r="A20" s="24" t="s">
        <v>704</v>
      </c>
      <c r="B20" s="24" t="s">
        <v>705</v>
      </c>
      <c r="D20" s="9">
        <v>0</v>
      </c>
      <c r="E20" s="9">
        <v>0</v>
      </c>
      <c r="F20" s="34">
        <v>0</v>
      </c>
      <c r="G20" s="9">
        <v>0</v>
      </c>
      <c r="H20" s="9">
        <v>0</v>
      </c>
      <c r="I20" s="9">
        <v>0</v>
      </c>
    </row>
    <row r="21" spans="1:11" x14ac:dyDescent="0.25">
      <c r="A21" t="s">
        <v>186</v>
      </c>
      <c r="D21" s="9"/>
      <c r="E21" s="9"/>
      <c r="F21" s="34"/>
      <c r="G21" s="9"/>
      <c r="H21" s="9"/>
      <c r="I21" s="9"/>
    </row>
    <row r="22" spans="1:11" x14ac:dyDescent="0.25">
      <c r="A22" t="s">
        <v>424</v>
      </c>
      <c r="B22" t="s">
        <v>188</v>
      </c>
      <c r="D22" s="34">
        <f>0.075*SUM(D18:D20)</f>
        <v>6897.48</v>
      </c>
      <c r="E22" s="9">
        <v>4625.46</v>
      </c>
      <c r="F22" s="34">
        <f>0.075*SUM(F18:F20)</f>
        <v>6226.6799999999994</v>
      </c>
      <c r="G22" s="9">
        <v>5348.11</v>
      </c>
      <c r="H22" s="9">
        <f>0.075*SUM(H18:H20)</f>
        <v>5740.92</v>
      </c>
      <c r="I22" s="9">
        <v>5317.01</v>
      </c>
    </row>
    <row r="23" spans="1:11" x14ac:dyDescent="0.25">
      <c r="A23" t="s">
        <v>425</v>
      </c>
      <c r="B23" t="s">
        <v>80</v>
      </c>
      <c r="D23" s="34">
        <f>0.062*SUM(D18:D20)</f>
        <v>5701.9168</v>
      </c>
      <c r="E23" s="9">
        <v>4267.75</v>
      </c>
      <c r="F23" s="34">
        <f>0.062*SUM(F18:F20)</f>
        <v>5147.3887999999997</v>
      </c>
      <c r="G23" s="9">
        <v>5045.42</v>
      </c>
      <c r="H23" s="9">
        <f>0.062*SUM(H18:H20)</f>
        <v>4745.8272000000006</v>
      </c>
      <c r="I23" s="9">
        <v>4972.71</v>
      </c>
    </row>
    <row r="24" spans="1:11" x14ac:dyDescent="0.25">
      <c r="A24" t="s">
        <v>426</v>
      </c>
      <c r="B24" t="s">
        <v>82</v>
      </c>
      <c r="D24" s="34">
        <f>0.0145*SUM(D18:D20)</f>
        <v>1333.5128</v>
      </c>
      <c r="E24" s="9">
        <v>998</v>
      </c>
      <c r="F24" s="34">
        <f>0.0145*SUM(F18:F20)</f>
        <v>1203.8247999999999</v>
      </c>
      <c r="G24" s="9">
        <v>1179.94</v>
      </c>
      <c r="H24" s="9">
        <f>0.0145*SUM(H18:H20)</f>
        <v>1109.9112000000002</v>
      </c>
      <c r="I24" s="9">
        <v>1163</v>
      </c>
    </row>
    <row r="25" spans="1:11" x14ac:dyDescent="0.25">
      <c r="A25" t="s">
        <v>1290</v>
      </c>
      <c r="B25" t="s">
        <v>1278</v>
      </c>
      <c r="D25" s="34">
        <v>0</v>
      </c>
      <c r="E25" s="9">
        <v>0</v>
      </c>
      <c r="F25" s="34">
        <v>0</v>
      </c>
      <c r="G25" s="9">
        <v>228</v>
      </c>
      <c r="H25" s="9">
        <v>0</v>
      </c>
      <c r="I25" s="9">
        <v>0</v>
      </c>
    </row>
    <row r="26" spans="1:11" x14ac:dyDescent="0.25">
      <c r="A26" t="s">
        <v>181</v>
      </c>
      <c r="D26" s="9"/>
      <c r="E26" s="9"/>
      <c r="F26" s="34"/>
      <c r="G26" s="9"/>
      <c r="H26" s="9"/>
      <c r="I26" s="9"/>
    </row>
    <row r="27" spans="1:11" x14ac:dyDescent="0.25">
      <c r="A27" t="s">
        <v>427</v>
      </c>
      <c r="B27" t="s">
        <v>183</v>
      </c>
      <c r="D27" s="9">
        <v>18000</v>
      </c>
      <c r="E27" s="9">
        <v>0</v>
      </c>
      <c r="F27" s="9">
        <v>22800</v>
      </c>
      <c r="G27" s="9">
        <v>0</v>
      </c>
      <c r="H27" s="9">
        <v>11400</v>
      </c>
      <c r="I27" s="9">
        <v>0</v>
      </c>
    </row>
    <row r="28" spans="1:11" x14ac:dyDescent="0.25">
      <c r="A28" t="s">
        <v>638</v>
      </c>
      <c r="B28" t="s">
        <v>185</v>
      </c>
      <c r="D28" s="9">
        <v>1020</v>
      </c>
      <c r="E28" s="9">
        <v>0</v>
      </c>
      <c r="F28" s="9">
        <v>795</v>
      </c>
      <c r="G28" s="9">
        <v>0</v>
      </c>
      <c r="H28" s="9">
        <v>765</v>
      </c>
      <c r="I28" s="9">
        <v>0</v>
      </c>
    </row>
    <row r="29" spans="1:11" x14ac:dyDescent="0.25">
      <c r="A29" t="s">
        <v>637</v>
      </c>
      <c r="B29" t="s">
        <v>547</v>
      </c>
      <c r="D29" s="9">
        <v>0</v>
      </c>
      <c r="E29" s="9">
        <v>84.82</v>
      </c>
      <c r="F29" s="9">
        <v>0</v>
      </c>
      <c r="G29" s="9">
        <v>0</v>
      </c>
      <c r="H29" s="9">
        <v>0</v>
      </c>
      <c r="I29" s="9">
        <v>0</v>
      </c>
    </row>
    <row r="30" spans="1:11" x14ac:dyDescent="0.25">
      <c r="A30" t="s">
        <v>42</v>
      </c>
      <c r="D30" s="9"/>
      <c r="E30" s="9"/>
      <c r="F30" s="9"/>
      <c r="G30" s="9"/>
      <c r="H30" s="9"/>
      <c r="I30" s="9"/>
    </row>
    <row r="31" spans="1:11" x14ac:dyDescent="0.25">
      <c r="A31" t="s">
        <v>428</v>
      </c>
      <c r="B31" t="s">
        <v>180</v>
      </c>
      <c r="D31" s="9">
        <v>5000</v>
      </c>
      <c r="E31" s="9">
        <v>2114</v>
      </c>
      <c r="F31" s="9">
        <v>5000</v>
      </c>
      <c r="G31" s="9">
        <v>4644</v>
      </c>
      <c r="H31" s="9">
        <v>5000</v>
      </c>
      <c r="I31" s="9">
        <v>4934.82</v>
      </c>
    </row>
    <row r="32" spans="1:11" x14ac:dyDescent="0.25">
      <c r="A32" t="s">
        <v>32</v>
      </c>
      <c r="D32" s="9"/>
      <c r="E32" s="9"/>
      <c r="F32" s="9"/>
      <c r="G32" s="9"/>
      <c r="H32" s="9"/>
      <c r="I32" s="9"/>
    </row>
    <row r="33" spans="1:10" x14ac:dyDescent="0.25">
      <c r="A33" t="s">
        <v>429</v>
      </c>
      <c r="B33" t="s">
        <v>33</v>
      </c>
      <c r="D33" s="9">
        <v>0</v>
      </c>
      <c r="E33" s="9">
        <v>0</v>
      </c>
      <c r="F33" s="9">
        <v>0</v>
      </c>
      <c r="G33" s="9">
        <v>7.43</v>
      </c>
      <c r="H33" s="9">
        <v>0</v>
      </c>
      <c r="I33" s="9">
        <v>0</v>
      </c>
    </row>
    <row r="34" spans="1:10" x14ac:dyDescent="0.25">
      <c r="A34" t="s">
        <v>430</v>
      </c>
      <c r="B34" t="s">
        <v>34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64.069999999999993</v>
      </c>
    </row>
    <row r="35" spans="1:10" x14ac:dyDescent="0.25">
      <c r="A35" t="s">
        <v>431</v>
      </c>
      <c r="B35" t="s">
        <v>41</v>
      </c>
      <c r="D35" s="9">
        <v>800</v>
      </c>
      <c r="E35" s="9">
        <v>90.92</v>
      </c>
      <c r="F35" s="9">
        <v>800</v>
      </c>
      <c r="G35" s="9">
        <v>281.32</v>
      </c>
      <c r="H35" s="9">
        <v>800</v>
      </c>
      <c r="I35" s="9">
        <v>318.37</v>
      </c>
    </row>
    <row r="36" spans="1:10" x14ac:dyDescent="0.25">
      <c r="A36" t="s">
        <v>147</v>
      </c>
      <c r="D36" s="9"/>
      <c r="E36" s="9"/>
      <c r="F36" s="9"/>
      <c r="G36" s="9"/>
      <c r="H36" s="9"/>
      <c r="I36" s="9"/>
    </row>
    <row r="37" spans="1:10" x14ac:dyDescent="0.25">
      <c r="A37" t="s">
        <v>432</v>
      </c>
      <c r="B37" t="s">
        <v>149</v>
      </c>
      <c r="D37" s="9">
        <v>3000</v>
      </c>
      <c r="E37" s="9">
        <v>758.36</v>
      </c>
      <c r="F37" s="34">
        <v>3000</v>
      </c>
      <c r="G37" s="9">
        <v>2822.19</v>
      </c>
      <c r="H37" s="9">
        <v>2000</v>
      </c>
      <c r="I37" s="9">
        <v>2009.14</v>
      </c>
    </row>
    <row r="38" spans="1:10" x14ac:dyDescent="0.25">
      <c r="A38" t="s">
        <v>433</v>
      </c>
      <c r="B38" t="s">
        <v>29</v>
      </c>
      <c r="D38" s="9">
        <v>800</v>
      </c>
      <c r="E38" s="9">
        <v>455.3</v>
      </c>
      <c r="F38" s="34">
        <v>800</v>
      </c>
      <c r="G38" s="9">
        <v>457.64699999999999</v>
      </c>
      <c r="H38" s="9">
        <v>800</v>
      </c>
      <c r="I38" s="9">
        <v>771.22</v>
      </c>
    </row>
    <row r="39" spans="1:10" x14ac:dyDescent="0.25">
      <c r="A39" t="s">
        <v>434</v>
      </c>
      <c r="B39" t="s">
        <v>30</v>
      </c>
      <c r="D39" s="9">
        <v>0</v>
      </c>
      <c r="E39" s="9">
        <v>44.59</v>
      </c>
      <c r="F39" s="34">
        <v>0</v>
      </c>
      <c r="G39" s="9">
        <v>83.12</v>
      </c>
      <c r="H39" s="9">
        <v>0</v>
      </c>
      <c r="I39" s="9">
        <v>118.76</v>
      </c>
    </row>
    <row r="40" spans="1:10" x14ac:dyDescent="0.25">
      <c r="A40" t="s">
        <v>435</v>
      </c>
      <c r="B40" t="s">
        <v>31</v>
      </c>
      <c r="D40" s="9">
        <v>4000</v>
      </c>
      <c r="E40" s="9">
        <v>2099.85</v>
      </c>
      <c r="F40" s="34">
        <v>4000</v>
      </c>
      <c r="G40" s="9">
        <v>5091.8900000000003</v>
      </c>
      <c r="H40" s="9">
        <v>3000</v>
      </c>
      <c r="I40" s="9">
        <v>4068.75</v>
      </c>
    </row>
    <row r="41" spans="1:10" x14ac:dyDescent="0.25">
      <c r="A41" t="s">
        <v>23</v>
      </c>
      <c r="D41" s="9"/>
      <c r="E41" s="9"/>
      <c r="F41" s="9"/>
      <c r="G41" s="9"/>
      <c r="H41" s="9"/>
      <c r="I41" s="9"/>
    </row>
    <row r="42" spans="1:10" x14ac:dyDescent="0.25">
      <c r="A42" t="s">
        <v>436</v>
      </c>
      <c r="B42" t="s">
        <v>139</v>
      </c>
      <c r="D42" s="9">
        <v>300</v>
      </c>
      <c r="E42" s="9">
        <v>324.89</v>
      </c>
      <c r="F42" s="9">
        <v>300</v>
      </c>
      <c r="G42" s="9">
        <v>1262.57</v>
      </c>
      <c r="H42" s="9">
        <v>300</v>
      </c>
      <c r="I42" s="9">
        <v>125.92</v>
      </c>
    </row>
    <row r="43" spans="1:10" x14ac:dyDescent="0.25">
      <c r="A43" t="s">
        <v>437</v>
      </c>
      <c r="B43" t="s">
        <v>141</v>
      </c>
      <c r="D43" s="9">
        <v>0</v>
      </c>
      <c r="E43" s="9">
        <v>0</v>
      </c>
      <c r="F43" s="9">
        <v>0</v>
      </c>
      <c r="G43" s="9">
        <v>8.99</v>
      </c>
      <c r="H43" s="9">
        <v>0</v>
      </c>
      <c r="I43" s="9">
        <v>0</v>
      </c>
    </row>
    <row r="44" spans="1:10" x14ac:dyDescent="0.25">
      <c r="A44" t="s">
        <v>438</v>
      </c>
      <c r="B44" t="s">
        <v>144</v>
      </c>
      <c r="D44" s="9">
        <v>0</v>
      </c>
      <c r="E44" s="9">
        <v>0</v>
      </c>
      <c r="F44" s="9">
        <v>200</v>
      </c>
      <c r="G44" s="9">
        <v>0</v>
      </c>
      <c r="H44" s="9">
        <v>500</v>
      </c>
      <c r="I44" s="9">
        <v>0</v>
      </c>
      <c r="J44" s="24"/>
    </row>
    <row r="45" spans="1:10" x14ac:dyDescent="0.25">
      <c r="A45" t="s">
        <v>439</v>
      </c>
      <c r="B45" t="s">
        <v>146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10" x14ac:dyDescent="0.25">
      <c r="A46" t="s">
        <v>17</v>
      </c>
      <c r="D46" s="9"/>
      <c r="E46" s="9"/>
      <c r="F46" s="9"/>
      <c r="G46" s="9"/>
      <c r="H46" s="9"/>
      <c r="I46" s="9"/>
    </row>
    <row r="47" spans="1:10" x14ac:dyDescent="0.25">
      <c r="A47" t="s">
        <v>440</v>
      </c>
      <c r="B47" t="s">
        <v>18</v>
      </c>
      <c r="D47" s="9">
        <v>65000</v>
      </c>
      <c r="E47" s="9">
        <v>70046.19</v>
      </c>
      <c r="F47" s="34">
        <v>65000</v>
      </c>
      <c r="G47" s="9">
        <v>69728.87</v>
      </c>
      <c r="H47" s="9">
        <v>50000</v>
      </c>
      <c r="I47" s="9">
        <v>67035.490000000005</v>
      </c>
    </row>
    <row r="48" spans="1:10" x14ac:dyDescent="0.25">
      <c r="A48" t="s">
        <v>441</v>
      </c>
      <c r="B48" t="s">
        <v>19</v>
      </c>
      <c r="D48" s="9">
        <v>175000</v>
      </c>
      <c r="E48" s="9">
        <v>180337.34</v>
      </c>
      <c r="F48" s="34">
        <v>175000</v>
      </c>
      <c r="G48" s="9">
        <v>184727.48</v>
      </c>
      <c r="H48" s="9">
        <v>175000</v>
      </c>
      <c r="I48" s="9">
        <v>177971.96</v>
      </c>
    </row>
    <row r="49" spans="1:9" x14ac:dyDescent="0.25">
      <c r="A49" t="s">
        <v>442</v>
      </c>
      <c r="B49" t="s">
        <v>20</v>
      </c>
      <c r="D49" s="9">
        <v>20000</v>
      </c>
      <c r="E49" s="9">
        <v>16480.82</v>
      </c>
      <c r="F49" s="34">
        <v>20000</v>
      </c>
      <c r="G49" s="9">
        <v>20271.18</v>
      </c>
      <c r="H49" s="9">
        <v>21000</v>
      </c>
      <c r="I49" s="9">
        <v>22830.11</v>
      </c>
    </row>
    <row r="50" spans="1:9" x14ac:dyDescent="0.25">
      <c r="A50" t="s">
        <v>443</v>
      </c>
      <c r="B50" t="s">
        <v>21</v>
      </c>
      <c r="D50" s="9">
        <v>3500</v>
      </c>
      <c r="E50" s="9">
        <v>1477.4</v>
      </c>
      <c r="F50" s="34">
        <v>3500</v>
      </c>
      <c r="G50" s="9">
        <v>2176.52</v>
      </c>
      <c r="H50" s="9">
        <v>5000</v>
      </c>
      <c r="I50" s="9">
        <v>3334.7</v>
      </c>
    </row>
    <row r="51" spans="1:9" x14ac:dyDescent="0.25">
      <c r="A51" t="s">
        <v>444</v>
      </c>
      <c r="B51" t="s">
        <v>22</v>
      </c>
      <c r="D51" s="9">
        <v>1000</v>
      </c>
      <c r="E51" s="9">
        <v>49.04</v>
      </c>
      <c r="F51" s="34">
        <v>1000</v>
      </c>
      <c r="G51" s="9">
        <v>564.76</v>
      </c>
      <c r="H51" s="9">
        <v>2000</v>
      </c>
      <c r="I51" s="9">
        <v>799.28</v>
      </c>
    </row>
    <row r="52" spans="1:9" x14ac:dyDescent="0.25">
      <c r="A52" s="24" t="s">
        <v>706</v>
      </c>
      <c r="B52" s="24" t="s">
        <v>707</v>
      </c>
      <c r="D52" s="9">
        <v>5000</v>
      </c>
      <c r="E52" s="9">
        <v>2207.58</v>
      </c>
      <c r="F52" s="34">
        <v>5000</v>
      </c>
      <c r="G52" s="9">
        <v>5500.01</v>
      </c>
      <c r="H52" s="9">
        <v>3000</v>
      </c>
      <c r="I52" s="9">
        <v>5425.73</v>
      </c>
    </row>
    <row r="53" spans="1:9" x14ac:dyDescent="0.25">
      <c r="A53" t="s">
        <v>6</v>
      </c>
      <c r="D53" s="9"/>
      <c r="E53" s="9"/>
      <c r="F53" s="34"/>
      <c r="G53" s="9"/>
      <c r="H53" s="9"/>
      <c r="I53" s="9"/>
    </row>
    <row r="54" spans="1:9" x14ac:dyDescent="0.25">
      <c r="A54" t="s">
        <v>445</v>
      </c>
      <c r="B54" t="s">
        <v>8</v>
      </c>
      <c r="D54" s="9">
        <v>3000</v>
      </c>
      <c r="E54" s="9">
        <v>3000</v>
      </c>
      <c r="F54" s="34">
        <v>3000</v>
      </c>
      <c r="G54" s="9">
        <v>3000</v>
      </c>
      <c r="H54" s="9">
        <v>3000</v>
      </c>
      <c r="I54" s="9">
        <v>2590</v>
      </c>
    </row>
    <row r="55" spans="1:9" x14ac:dyDescent="0.25">
      <c r="A55" s="24" t="s">
        <v>702</v>
      </c>
      <c r="B55" s="24" t="s">
        <v>703</v>
      </c>
      <c r="D55" s="9">
        <v>2000</v>
      </c>
      <c r="E55" s="9">
        <v>2937.13</v>
      </c>
      <c r="F55" s="34">
        <v>2000</v>
      </c>
      <c r="G55" s="9">
        <v>1389.95</v>
      </c>
      <c r="H55" s="9">
        <v>2000</v>
      </c>
      <c r="I55" s="9">
        <v>1176</v>
      </c>
    </row>
    <row r="56" spans="1:9" x14ac:dyDescent="0.25">
      <c r="A56" t="s">
        <v>641</v>
      </c>
      <c r="B56" s="24" t="s">
        <v>733</v>
      </c>
      <c r="D56" s="9">
        <v>0</v>
      </c>
      <c r="E56" s="9">
        <v>0</v>
      </c>
      <c r="F56" s="34">
        <v>0</v>
      </c>
      <c r="G56" s="9">
        <v>45.63</v>
      </c>
      <c r="H56" s="9">
        <v>0</v>
      </c>
      <c r="I56" s="9">
        <v>1159.3699999999999</v>
      </c>
    </row>
    <row r="57" spans="1:9" x14ac:dyDescent="0.25">
      <c r="A57" t="s">
        <v>493</v>
      </c>
      <c r="D57" s="9"/>
      <c r="E57" s="9"/>
      <c r="F57" s="34"/>
      <c r="G57" s="9"/>
      <c r="H57" s="9"/>
      <c r="I57" s="9"/>
    </row>
    <row r="58" spans="1:9" x14ac:dyDescent="0.25">
      <c r="A58" t="s">
        <v>446</v>
      </c>
      <c r="B58" t="s">
        <v>87</v>
      </c>
      <c r="D58" s="9">
        <v>1600</v>
      </c>
      <c r="E58" s="9">
        <v>1697.98</v>
      </c>
      <c r="F58" s="34">
        <v>1600</v>
      </c>
      <c r="G58" s="9">
        <v>1723.43</v>
      </c>
      <c r="H58" s="9">
        <v>1500</v>
      </c>
      <c r="I58" s="9">
        <v>1696.46</v>
      </c>
    </row>
    <row r="59" spans="1:9" x14ac:dyDescent="0.25">
      <c r="A59" t="s">
        <v>136</v>
      </c>
      <c r="D59" s="9"/>
      <c r="E59" s="9"/>
      <c r="F59" s="34"/>
      <c r="G59" s="9"/>
      <c r="H59" s="9"/>
      <c r="I59" s="9"/>
    </row>
    <row r="60" spans="1:9" x14ac:dyDescent="0.25">
      <c r="A60" t="s">
        <v>565</v>
      </c>
      <c r="B60" t="s">
        <v>137</v>
      </c>
      <c r="D60" s="9">
        <v>0</v>
      </c>
      <c r="E60" s="9">
        <v>43.12</v>
      </c>
      <c r="F60" s="34">
        <v>0</v>
      </c>
      <c r="G60" s="9">
        <v>0</v>
      </c>
      <c r="H60" s="9">
        <v>0</v>
      </c>
      <c r="I60" s="9">
        <v>0</v>
      </c>
    </row>
    <row r="61" spans="1:9" x14ac:dyDescent="0.25">
      <c r="A61" t="s">
        <v>447</v>
      </c>
      <c r="B61" t="s">
        <v>47</v>
      </c>
      <c r="D61" s="9">
        <v>2000</v>
      </c>
      <c r="E61" s="9">
        <v>1621.44</v>
      </c>
      <c r="F61" s="34">
        <v>2000</v>
      </c>
      <c r="G61" s="9">
        <v>2009.66</v>
      </c>
      <c r="H61" s="9">
        <v>1600</v>
      </c>
      <c r="I61" s="9">
        <v>2034.77</v>
      </c>
    </row>
    <row r="62" spans="1:9" x14ac:dyDescent="0.25">
      <c r="A62" t="s">
        <v>134</v>
      </c>
      <c r="D62" s="9"/>
      <c r="E62" s="9"/>
      <c r="F62" s="34"/>
      <c r="G62" s="9"/>
      <c r="H62" s="9"/>
      <c r="I62" s="9"/>
    </row>
    <row r="63" spans="1:9" x14ac:dyDescent="0.25">
      <c r="A63" t="s">
        <v>448</v>
      </c>
      <c r="B63" t="s">
        <v>135</v>
      </c>
      <c r="D63" s="9">
        <v>100</v>
      </c>
      <c r="E63" s="9">
        <v>0</v>
      </c>
      <c r="F63" s="34">
        <v>100</v>
      </c>
      <c r="G63" s="9">
        <v>0</v>
      </c>
      <c r="H63" s="9">
        <v>200</v>
      </c>
      <c r="I63" s="9">
        <v>0</v>
      </c>
    </row>
    <row r="64" spans="1:9" x14ac:dyDescent="0.25">
      <c r="A64" t="s">
        <v>126</v>
      </c>
      <c r="D64" s="9"/>
      <c r="E64" s="9"/>
      <c r="F64" s="34"/>
      <c r="G64" s="9"/>
      <c r="H64" s="9"/>
      <c r="I64" s="9"/>
    </row>
    <row r="65" spans="1:9" x14ac:dyDescent="0.25">
      <c r="A65" t="s">
        <v>449</v>
      </c>
      <c r="B65" t="s">
        <v>84</v>
      </c>
      <c r="D65" s="9">
        <v>1000</v>
      </c>
      <c r="E65" s="9">
        <v>967.12</v>
      </c>
      <c r="F65" s="34">
        <v>800</v>
      </c>
      <c r="G65" s="9">
        <v>663.37</v>
      </c>
      <c r="H65" s="9">
        <v>800</v>
      </c>
      <c r="I65" s="9">
        <v>769.37</v>
      </c>
    </row>
    <row r="66" spans="1:9" x14ac:dyDescent="0.25">
      <c r="A66" t="s">
        <v>450</v>
      </c>
      <c r="B66" t="s">
        <v>128</v>
      </c>
      <c r="D66" s="9">
        <v>2400</v>
      </c>
      <c r="E66" s="9">
        <v>2372</v>
      </c>
      <c r="F66" s="34">
        <v>2100</v>
      </c>
      <c r="G66" s="9">
        <v>1843</v>
      </c>
      <c r="H66" s="9">
        <v>2000</v>
      </c>
      <c r="I66" s="9">
        <v>2001</v>
      </c>
    </row>
    <row r="67" spans="1:9" x14ac:dyDescent="0.25">
      <c r="A67" t="s">
        <v>451</v>
      </c>
      <c r="B67" t="s">
        <v>130</v>
      </c>
      <c r="D67" s="9">
        <v>3800</v>
      </c>
      <c r="E67" s="9">
        <v>3782.24</v>
      </c>
      <c r="F67" s="34">
        <v>3600</v>
      </c>
      <c r="G67" s="9">
        <v>0.34</v>
      </c>
      <c r="H67" s="9">
        <v>3600</v>
      </c>
      <c r="I67" s="9">
        <v>0</v>
      </c>
    </row>
    <row r="68" spans="1:9" x14ac:dyDescent="0.25">
      <c r="A68" t="s">
        <v>119</v>
      </c>
      <c r="D68" s="9"/>
      <c r="E68" s="9"/>
      <c r="F68" s="9"/>
      <c r="G68" s="9"/>
      <c r="H68" s="9"/>
      <c r="I68" s="9"/>
    </row>
    <row r="69" spans="1:9" x14ac:dyDescent="0.25">
      <c r="A69" t="s">
        <v>452</v>
      </c>
      <c r="B69" t="s">
        <v>120</v>
      </c>
      <c r="D69" s="9">
        <v>9500</v>
      </c>
      <c r="E69" s="9">
        <v>7010.29</v>
      </c>
      <c r="F69" s="9">
        <v>9500</v>
      </c>
      <c r="G69" s="9">
        <v>10045.6</v>
      </c>
      <c r="H69" s="9">
        <v>9500</v>
      </c>
      <c r="I69" s="9">
        <v>9380.14</v>
      </c>
    </row>
    <row r="70" spans="1:9" x14ac:dyDescent="0.25">
      <c r="A70" t="s">
        <v>453</v>
      </c>
      <c r="B70" t="s">
        <v>121</v>
      </c>
      <c r="D70" s="9">
        <v>300</v>
      </c>
      <c r="E70" s="9">
        <v>278.06</v>
      </c>
      <c r="F70" s="9">
        <v>300</v>
      </c>
      <c r="G70" s="9">
        <v>277.63</v>
      </c>
      <c r="H70" s="9">
        <v>300</v>
      </c>
      <c r="I70" s="9">
        <v>315.73</v>
      </c>
    </row>
    <row r="71" spans="1:9" x14ac:dyDescent="0.25">
      <c r="A71" t="s">
        <v>454</v>
      </c>
      <c r="B71" t="s">
        <v>122</v>
      </c>
      <c r="D71" s="9">
        <v>600</v>
      </c>
      <c r="E71" s="9">
        <v>427.64</v>
      </c>
      <c r="F71" s="9">
        <v>600</v>
      </c>
      <c r="G71" s="9">
        <v>726.85</v>
      </c>
      <c r="H71" s="9">
        <v>600</v>
      </c>
      <c r="I71" s="9">
        <v>785.68</v>
      </c>
    </row>
    <row r="72" spans="1:9" x14ac:dyDescent="0.25">
      <c r="A72" t="s">
        <v>455</v>
      </c>
      <c r="B72" t="s">
        <v>123</v>
      </c>
      <c r="D72" s="9">
        <v>1000</v>
      </c>
      <c r="E72" s="9">
        <v>762.86</v>
      </c>
      <c r="F72" s="9">
        <v>1000</v>
      </c>
      <c r="G72" s="9">
        <v>914.86</v>
      </c>
      <c r="H72" s="9">
        <v>1000</v>
      </c>
      <c r="I72" s="9">
        <v>915.12</v>
      </c>
    </row>
    <row r="73" spans="1:9" x14ac:dyDescent="0.25">
      <c r="A73" t="s">
        <v>456</v>
      </c>
      <c r="B73" t="s">
        <v>124</v>
      </c>
      <c r="D73" s="9">
        <v>300</v>
      </c>
      <c r="E73" s="9">
        <v>312.74</v>
      </c>
      <c r="F73" s="9">
        <v>300</v>
      </c>
      <c r="G73" s="9">
        <v>267.01</v>
      </c>
      <c r="H73" s="9">
        <v>300</v>
      </c>
      <c r="I73" s="9">
        <v>360.5</v>
      </c>
    </row>
    <row r="74" spans="1:9" x14ac:dyDescent="0.25">
      <c r="A74" s="24" t="s">
        <v>700</v>
      </c>
      <c r="D74" s="9"/>
      <c r="E74" s="9"/>
      <c r="F74" s="9"/>
      <c r="G74" s="9"/>
      <c r="H74" s="9"/>
      <c r="I74" s="9"/>
    </row>
    <row r="75" spans="1:9" x14ac:dyDescent="0.25">
      <c r="A75" s="24" t="s">
        <v>698</v>
      </c>
      <c r="B75" s="24" t="s">
        <v>699</v>
      </c>
      <c r="D75" s="9">
        <v>500</v>
      </c>
      <c r="E75" s="9">
        <v>80</v>
      </c>
      <c r="F75" s="9">
        <v>500</v>
      </c>
      <c r="G75" s="9">
        <v>433</v>
      </c>
      <c r="H75" s="9">
        <v>500</v>
      </c>
      <c r="I75" s="9">
        <v>480</v>
      </c>
    </row>
    <row r="76" spans="1:9" x14ac:dyDescent="0.25">
      <c r="A76" s="24" t="s">
        <v>1291</v>
      </c>
      <c r="B76" s="24" t="s">
        <v>1280</v>
      </c>
      <c r="D76" s="9">
        <v>0</v>
      </c>
      <c r="E76" s="9">
        <v>0</v>
      </c>
      <c r="F76" s="9">
        <v>0</v>
      </c>
      <c r="G76" s="9">
        <v>1905</v>
      </c>
      <c r="H76" s="9">
        <v>0</v>
      </c>
      <c r="I76" s="9">
        <v>0</v>
      </c>
    </row>
    <row r="77" spans="1:9" x14ac:dyDescent="0.25">
      <c r="A77" s="24" t="s">
        <v>689</v>
      </c>
      <c r="B77" s="24"/>
      <c r="D77" s="9"/>
      <c r="E77" s="9"/>
      <c r="F77" s="9"/>
      <c r="G77" s="9"/>
      <c r="H77" s="9"/>
      <c r="I77" s="9"/>
    </row>
    <row r="78" spans="1:9" x14ac:dyDescent="0.25">
      <c r="A78" s="24" t="s">
        <v>1082</v>
      </c>
      <c r="B78" s="24" t="s">
        <v>1083</v>
      </c>
      <c r="D78" s="9">
        <v>0</v>
      </c>
      <c r="E78" s="9">
        <v>26800</v>
      </c>
      <c r="F78" s="9">
        <v>0</v>
      </c>
      <c r="G78" s="9">
        <v>0</v>
      </c>
      <c r="H78" s="9">
        <v>0</v>
      </c>
      <c r="I78" s="9">
        <v>8000</v>
      </c>
    </row>
    <row r="79" spans="1:9" x14ac:dyDescent="0.25">
      <c r="A79" t="s">
        <v>490</v>
      </c>
      <c r="D79" s="9"/>
      <c r="E79" s="9"/>
      <c r="F79" s="9"/>
      <c r="G79" s="9"/>
      <c r="H79" s="9"/>
      <c r="I79" s="9"/>
    </row>
    <row r="80" spans="1:9" x14ac:dyDescent="0.25">
      <c r="A80" t="s">
        <v>494</v>
      </c>
      <c r="B80" t="s">
        <v>495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</row>
    <row r="81" spans="1:11" x14ac:dyDescent="0.25">
      <c r="A81" t="s">
        <v>496</v>
      </c>
      <c r="B81" t="s">
        <v>497</v>
      </c>
      <c r="D81" s="9">
        <v>0</v>
      </c>
      <c r="E81" s="9">
        <v>0</v>
      </c>
      <c r="F81" s="9">
        <v>15000</v>
      </c>
      <c r="G81" s="9">
        <v>0</v>
      </c>
      <c r="H81" s="9">
        <v>0</v>
      </c>
      <c r="I81" s="9">
        <v>0</v>
      </c>
      <c r="J81" s="9"/>
      <c r="K81" s="10"/>
    </row>
    <row r="82" spans="1:11" x14ac:dyDescent="0.25">
      <c r="A82" s="24" t="s">
        <v>785</v>
      </c>
      <c r="B82" s="24" t="s">
        <v>626</v>
      </c>
      <c r="D82" s="9">
        <v>0</v>
      </c>
      <c r="E82" s="9">
        <v>0</v>
      </c>
      <c r="F82" s="9">
        <v>0</v>
      </c>
      <c r="G82" s="9">
        <v>2615</v>
      </c>
      <c r="H82" s="9">
        <v>3500</v>
      </c>
      <c r="I82" s="9">
        <v>0</v>
      </c>
      <c r="J82" s="9"/>
      <c r="K82" s="10"/>
    </row>
    <row r="83" spans="1:11" x14ac:dyDescent="0.25">
      <c r="A83" s="24" t="s">
        <v>859</v>
      </c>
      <c r="B83" s="24" t="s">
        <v>860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/>
      <c r="K83" s="10"/>
    </row>
    <row r="84" spans="1:11" x14ac:dyDescent="0.25">
      <c r="A84" t="s">
        <v>114</v>
      </c>
      <c r="D84" s="9"/>
      <c r="E84" s="9"/>
      <c r="F84" s="9"/>
      <c r="G84" s="9"/>
      <c r="H84" s="9"/>
      <c r="I84" s="9"/>
    </row>
    <row r="85" spans="1:11" x14ac:dyDescent="0.25">
      <c r="A85" t="s">
        <v>457</v>
      </c>
      <c r="B85" t="s">
        <v>115</v>
      </c>
      <c r="D85" s="9">
        <v>0</v>
      </c>
      <c r="E85" s="9">
        <v>0</v>
      </c>
      <c r="F85" s="9">
        <v>0</v>
      </c>
      <c r="G85" s="9">
        <v>0</v>
      </c>
      <c r="H85" s="9">
        <v>1000</v>
      </c>
      <c r="I85" s="9">
        <v>0</v>
      </c>
    </row>
    <row r="86" spans="1:11" x14ac:dyDescent="0.25">
      <c r="A86" s="24" t="s">
        <v>697</v>
      </c>
      <c r="B86" s="24" t="s">
        <v>497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</row>
    <row r="87" spans="1:11" x14ac:dyDescent="0.25">
      <c r="A87" s="24" t="s">
        <v>701</v>
      </c>
      <c r="B87" s="24" t="s">
        <v>112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</row>
    <row r="88" spans="1:11" x14ac:dyDescent="0.25">
      <c r="A88" t="s">
        <v>458</v>
      </c>
      <c r="B88" t="s">
        <v>91</v>
      </c>
      <c r="D88" s="9">
        <v>5700</v>
      </c>
      <c r="E88" s="9">
        <v>6646.35</v>
      </c>
      <c r="F88" s="34">
        <v>5705</v>
      </c>
      <c r="G88" s="9">
        <v>6084.41</v>
      </c>
      <c r="H88" s="9">
        <v>4000</v>
      </c>
      <c r="I88" s="9">
        <v>6008.05</v>
      </c>
    </row>
    <row r="89" spans="1:11" x14ac:dyDescent="0.25">
      <c r="A89" t="s">
        <v>459</v>
      </c>
      <c r="B89" t="s">
        <v>89</v>
      </c>
      <c r="D89" s="9">
        <v>0</v>
      </c>
      <c r="E89" s="9">
        <v>0</v>
      </c>
      <c r="F89" s="9">
        <v>0</v>
      </c>
      <c r="G89" s="9">
        <v>580.01</v>
      </c>
      <c r="H89" s="9">
        <v>0</v>
      </c>
      <c r="I89" s="9">
        <v>20</v>
      </c>
    </row>
    <row r="90" spans="1:11" x14ac:dyDescent="0.25">
      <c r="A90" t="s">
        <v>460</v>
      </c>
      <c r="B90" t="s">
        <v>106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11" x14ac:dyDescent="0.25">
      <c r="D91" s="9"/>
      <c r="E91" s="9"/>
      <c r="F91" s="9"/>
      <c r="G91" s="9"/>
      <c r="H91" s="9"/>
      <c r="I91" s="9"/>
      <c r="J91" s="24"/>
    </row>
    <row r="92" spans="1:11" x14ac:dyDescent="0.25">
      <c r="B92" s="22" t="s">
        <v>57</v>
      </c>
      <c r="D92" s="9">
        <f>SUM(D18:D90)</f>
        <v>442119.30959999998</v>
      </c>
      <c r="E92" s="9">
        <f>SUM(E18:E90)</f>
        <v>411083.58999999997</v>
      </c>
      <c r="F92" s="9">
        <f t="shared" ref="F92:I92" si="0">SUM(F18:F90)</f>
        <v>450900.29359999998</v>
      </c>
      <c r="G92" s="9">
        <f t="shared" si="0"/>
        <v>426501.24699999997</v>
      </c>
      <c r="H92" s="9">
        <f t="shared" si="0"/>
        <v>404107.25839999999</v>
      </c>
      <c r="I92" s="9">
        <f t="shared" si="0"/>
        <v>419450.85</v>
      </c>
    </row>
    <row r="93" spans="1:11" x14ac:dyDescent="0.25">
      <c r="A93" s="10"/>
    </row>
    <row r="96" spans="1:11" x14ac:dyDescent="0.25">
      <c r="A96" s="1">
        <v>2018</v>
      </c>
    </row>
    <row r="97" spans="1:1" ht="15.6" x14ac:dyDescent="0.25">
      <c r="A97" s="106" t="s">
        <v>1069</v>
      </c>
    </row>
    <row r="98" spans="1:1" ht="15.6" x14ac:dyDescent="0.25">
      <c r="A98" s="106"/>
    </row>
    <row r="99" spans="1:1" ht="15.6" x14ac:dyDescent="0.25">
      <c r="A99" s="130">
        <v>2019</v>
      </c>
    </row>
    <row r="100" spans="1:1" ht="15.6" x14ac:dyDescent="0.25">
      <c r="A100" s="106" t="s">
        <v>1069</v>
      </c>
    </row>
    <row r="101" spans="1:1" ht="15.6" x14ac:dyDescent="0.25">
      <c r="A101" s="106"/>
    </row>
    <row r="102" spans="1:1" ht="15.6" x14ac:dyDescent="0.25">
      <c r="A102" s="130">
        <v>2020</v>
      </c>
    </row>
    <row r="103" spans="1:1" ht="15.6" x14ac:dyDescent="0.3">
      <c r="A103" s="145" t="s">
        <v>1233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22"/>
  <sheetViews>
    <sheetView workbookViewId="0">
      <selection activeCell="G23" sqref="G23"/>
    </sheetView>
  </sheetViews>
  <sheetFormatPr defaultRowHeight="13.2" x14ac:dyDescent="0.25"/>
  <cols>
    <col min="4" max="4" width="10.109375" customWidth="1"/>
    <col min="5" max="5" width="14.33203125" bestFit="1" customWidth="1"/>
    <col min="6" max="6" width="13.109375" customWidth="1"/>
  </cols>
  <sheetData>
    <row r="1" spans="1:7" ht="15.6" x14ac:dyDescent="0.3">
      <c r="A1" s="11" t="s">
        <v>748</v>
      </c>
      <c r="B1" s="37"/>
      <c r="C1" s="37"/>
      <c r="D1" s="37"/>
      <c r="E1" s="37"/>
      <c r="F1" s="37"/>
      <c r="G1" s="37"/>
    </row>
    <row r="2" spans="1:7" ht="15" x14ac:dyDescent="0.25">
      <c r="A2" s="37"/>
      <c r="B2" s="37"/>
      <c r="C2" s="37"/>
      <c r="D2" s="37"/>
      <c r="E2" s="37"/>
      <c r="F2" s="37"/>
      <c r="G2" s="37"/>
    </row>
    <row r="3" spans="1:7" ht="15" x14ac:dyDescent="0.25">
      <c r="A3" s="37" t="s">
        <v>749</v>
      </c>
      <c r="B3" s="37"/>
      <c r="C3" s="37"/>
      <c r="D3" s="37">
        <v>314</v>
      </c>
      <c r="E3" s="55">
        <v>0</v>
      </c>
      <c r="F3" s="37" t="s">
        <v>1070</v>
      </c>
      <c r="G3" s="37"/>
    </row>
    <row r="4" spans="1:7" ht="15" x14ac:dyDescent="0.25">
      <c r="A4" s="37"/>
      <c r="B4" s="37"/>
      <c r="C4" s="37"/>
      <c r="D4" s="37">
        <v>317</v>
      </c>
      <c r="E4" s="55">
        <v>0</v>
      </c>
      <c r="F4" s="37" t="s">
        <v>1070</v>
      </c>
      <c r="G4" s="37"/>
    </row>
    <row r="5" spans="1:7" ht="15" x14ac:dyDescent="0.25">
      <c r="A5" s="37"/>
      <c r="B5" s="37"/>
      <c r="C5" s="37"/>
      <c r="D5" s="37">
        <v>319</v>
      </c>
      <c r="E5" s="55">
        <f>'TIF GO 2015 (319)'!D13</f>
        <v>59161</v>
      </c>
      <c r="F5" s="37" t="s">
        <v>1205</v>
      </c>
      <c r="G5" s="37"/>
    </row>
    <row r="6" spans="1:7" ht="15" x14ac:dyDescent="0.25">
      <c r="A6" s="37"/>
      <c r="B6" s="37"/>
      <c r="C6" s="37"/>
      <c r="D6" s="37">
        <v>315</v>
      </c>
      <c r="E6" s="55">
        <f>'TAX ABATE 2012A (315)'!D11</f>
        <v>113643</v>
      </c>
      <c r="F6" s="37" t="s">
        <v>1361</v>
      </c>
      <c r="G6" s="37"/>
    </row>
    <row r="7" spans="1:7" ht="15" x14ac:dyDescent="0.25">
      <c r="A7" s="37"/>
      <c r="B7" s="37"/>
      <c r="C7" s="37"/>
      <c r="D7" s="37">
        <v>325</v>
      </c>
      <c r="E7" s="55">
        <f>'GO REFUND 2020B (325)'!C12</f>
        <v>8546.66</v>
      </c>
      <c r="F7" s="37" t="s">
        <v>1362</v>
      </c>
      <c r="G7" s="37"/>
    </row>
    <row r="8" spans="1:7" ht="15" x14ac:dyDescent="0.25">
      <c r="A8" s="37"/>
      <c r="B8" s="37"/>
      <c r="C8" s="37"/>
      <c r="D8" s="37">
        <v>354</v>
      </c>
      <c r="E8" s="56">
        <f>'Hwy 44 Bond 2013 (354)'!C12</f>
        <v>38865</v>
      </c>
      <c r="F8" s="37" t="s">
        <v>1361</v>
      </c>
      <c r="G8" s="37"/>
    </row>
    <row r="9" spans="1:7" ht="15" x14ac:dyDescent="0.25">
      <c r="A9" s="37"/>
      <c r="B9" s="37"/>
      <c r="C9" s="37"/>
      <c r="D9" s="37"/>
      <c r="E9" s="55"/>
      <c r="F9" s="37"/>
    </row>
    <row r="10" spans="1:7" ht="15" x14ac:dyDescent="0.25">
      <c r="A10" s="37"/>
      <c r="B10" s="37"/>
      <c r="C10" s="37"/>
      <c r="D10" s="37"/>
      <c r="E10" s="55">
        <f>SUM(E3:E8)</f>
        <v>220215.66</v>
      </c>
      <c r="F10" s="37" t="s">
        <v>57</v>
      </c>
      <c r="G10" s="37"/>
    </row>
    <row r="11" spans="1:7" ht="15" x14ac:dyDescent="0.25">
      <c r="A11" s="37"/>
      <c r="B11" s="37"/>
      <c r="C11" s="37"/>
      <c r="D11" s="37"/>
      <c r="E11" s="55"/>
      <c r="F11" s="37"/>
      <c r="G11" s="37"/>
    </row>
    <row r="12" spans="1:7" ht="15" x14ac:dyDescent="0.25">
      <c r="A12" s="37"/>
      <c r="B12" s="37"/>
      <c r="C12" s="37"/>
      <c r="D12" s="37"/>
      <c r="E12" s="55"/>
      <c r="F12" s="37"/>
      <c r="G12" s="37"/>
    </row>
    <row r="13" spans="1:7" ht="15" x14ac:dyDescent="0.25">
      <c r="A13" s="37" t="s">
        <v>806</v>
      </c>
      <c r="B13" s="37"/>
      <c r="C13" s="37"/>
      <c r="D13" s="37"/>
      <c r="E13" s="94">
        <f>30354+110385</f>
        <v>140739</v>
      </c>
      <c r="F13" s="95" t="s">
        <v>1363</v>
      </c>
      <c r="G13" s="37"/>
    </row>
    <row r="14" spans="1:7" ht="15" x14ac:dyDescent="0.25">
      <c r="A14" s="37"/>
      <c r="B14" s="37"/>
      <c r="C14" s="37"/>
      <c r="D14" s="37"/>
      <c r="E14" s="55"/>
      <c r="F14" s="37"/>
      <c r="G14" s="37"/>
    </row>
    <row r="15" spans="1:7" ht="15" x14ac:dyDescent="0.25">
      <c r="A15" s="37" t="s">
        <v>750</v>
      </c>
      <c r="B15" s="37"/>
      <c r="C15" s="37"/>
      <c r="D15" s="37"/>
      <c r="E15" s="37"/>
      <c r="F15" s="37"/>
      <c r="G15" s="37"/>
    </row>
    <row r="16" spans="1:7" ht="15" x14ac:dyDescent="0.25">
      <c r="A16" s="37"/>
      <c r="B16" s="37"/>
      <c r="C16" s="37"/>
      <c r="D16" s="37"/>
      <c r="E16" s="37"/>
      <c r="F16" s="37"/>
      <c r="G16" s="37"/>
    </row>
    <row r="17" spans="1:7" ht="15" x14ac:dyDescent="0.25">
      <c r="A17" s="37"/>
      <c r="B17" s="37"/>
      <c r="C17" s="37"/>
      <c r="D17" s="37"/>
      <c r="E17" s="37"/>
      <c r="F17" s="37"/>
      <c r="G17" s="37"/>
    </row>
    <row r="18" spans="1:7" ht="15" x14ac:dyDescent="0.25">
      <c r="A18" s="37"/>
      <c r="B18" s="37"/>
      <c r="C18" s="37"/>
      <c r="D18" s="37"/>
      <c r="E18" s="37"/>
      <c r="F18" s="37"/>
      <c r="G18" s="37"/>
    </row>
    <row r="19" spans="1:7" ht="15" x14ac:dyDescent="0.25">
      <c r="A19" s="37"/>
      <c r="B19" s="37"/>
      <c r="C19" s="37"/>
      <c r="D19" s="37"/>
      <c r="E19" s="37"/>
      <c r="F19" s="37"/>
      <c r="G19" s="37"/>
    </row>
    <row r="20" spans="1:7" ht="15" x14ac:dyDescent="0.25">
      <c r="A20" s="37"/>
      <c r="B20" s="37"/>
      <c r="C20" s="37"/>
      <c r="D20" s="37"/>
      <c r="E20" s="37"/>
      <c r="F20" s="37"/>
      <c r="G20" s="37"/>
    </row>
    <row r="21" spans="1:7" ht="15" x14ac:dyDescent="0.25">
      <c r="A21" s="37"/>
      <c r="B21" s="37"/>
      <c r="C21" s="37"/>
      <c r="D21" s="37"/>
      <c r="E21" s="37"/>
      <c r="F21" s="37"/>
      <c r="G21" s="37"/>
    </row>
    <row r="22" spans="1:7" ht="15" x14ac:dyDescent="0.25">
      <c r="A22" s="37"/>
      <c r="B22" s="37"/>
      <c r="C22" s="37"/>
      <c r="D22" s="37"/>
      <c r="E22" s="37"/>
      <c r="F22" s="37"/>
      <c r="G22" s="37"/>
    </row>
  </sheetData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29"/>
  <sheetViews>
    <sheetView workbookViewId="0">
      <selection activeCell="F23" sqref="F23"/>
    </sheetView>
  </sheetViews>
  <sheetFormatPr defaultRowHeight="13.2" x14ac:dyDescent="0.25"/>
  <cols>
    <col min="1" max="1" width="25.5546875" bestFit="1" customWidth="1"/>
    <col min="2" max="2" width="18.6640625" bestFit="1" customWidth="1"/>
    <col min="3" max="8" width="11.6640625" customWidth="1"/>
  </cols>
  <sheetData>
    <row r="1" spans="1:8" ht="15.6" x14ac:dyDescent="0.3">
      <c r="A1" s="11" t="s">
        <v>1098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</row>
    <row r="2" spans="1:8" x14ac:dyDescent="0.25">
      <c r="A2" s="24" t="s">
        <v>1099</v>
      </c>
      <c r="C2" s="1" t="s">
        <v>501</v>
      </c>
      <c r="D2" s="1" t="s">
        <v>1179</v>
      </c>
      <c r="E2" s="36" t="s">
        <v>501</v>
      </c>
      <c r="F2" s="36" t="s">
        <v>794</v>
      </c>
      <c r="G2" s="36" t="s">
        <v>501</v>
      </c>
      <c r="H2" s="36" t="s">
        <v>794</v>
      </c>
    </row>
    <row r="5" spans="1:8" x14ac:dyDescent="0.25">
      <c r="A5" s="24" t="s">
        <v>570</v>
      </c>
    </row>
    <row r="6" spans="1:8" x14ac:dyDescent="0.25">
      <c r="A6" s="24" t="s">
        <v>1138</v>
      </c>
      <c r="B6" s="24" t="s">
        <v>593</v>
      </c>
      <c r="C6" s="49">
        <v>0</v>
      </c>
      <c r="D6" s="49">
        <v>0</v>
      </c>
      <c r="E6" s="49">
        <v>0</v>
      </c>
      <c r="F6" s="49">
        <v>125</v>
      </c>
      <c r="G6" s="9">
        <v>0</v>
      </c>
      <c r="H6" s="9">
        <v>5750</v>
      </c>
    </row>
    <row r="7" spans="1:8" x14ac:dyDescent="0.25">
      <c r="A7" s="24" t="s">
        <v>1139</v>
      </c>
      <c r="B7" s="24" t="s">
        <v>689</v>
      </c>
      <c r="C7" s="49">
        <v>0</v>
      </c>
      <c r="D7" s="49">
        <v>0</v>
      </c>
      <c r="E7" s="49">
        <v>0</v>
      </c>
      <c r="F7" s="49">
        <v>0</v>
      </c>
      <c r="G7" s="9">
        <v>0</v>
      </c>
      <c r="H7" s="9">
        <v>155000</v>
      </c>
    </row>
    <row r="8" spans="1:8" x14ac:dyDescent="0.25">
      <c r="A8" s="24" t="s">
        <v>1140</v>
      </c>
      <c r="B8" s="24" t="s">
        <v>1141</v>
      </c>
      <c r="C8" s="49">
        <f>6473+6264</f>
        <v>12737</v>
      </c>
      <c r="D8" s="49">
        <v>8734</v>
      </c>
      <c r="E8" s="49">
        <v>13162</v>
      </c>
      <c r="F8" s="49">
        <v>9277</v>
      </c>
      <c r="G8" s="9">
        <v>13600</v>
      </c>
      <c r="H8" s="9">
        <v>4862</v>
      </c>
    </row>
    <row r="9" spans="1:8" x14ac:dyDescent="0.25">
      <c r="C9" s="9"/>
      <c r="D9" s="9"/>
      <c r="E9" s="9"/>
      <c r="F9" s="9"/>
      <c r="G9" s="9"/>
      <c r="H9" s="9"/>
    </row>
    <row r="10" spans="1:8" x14ac:dyDescent="0.25">
      <c r="B10" s="24" t="s">
        <v>740</v>
      </c>
      <c r="C10" s="49">
        <f>SUM(C6:C8)</f>
        <v>12737</v>
      </c>
      <c r="D10" s="49">
        <f>SUM(D6:D8)</f>
        <v>8734</v>
      </c>
      <c r="E10" s="49">
        <f>SUM(E6:E8)</f>
        <v>13162</v>
      </c>
      <c r="F10" s="49">
        <f>SUM(F6:F9)</f>
        <v>9402</v>
      </c>
      <c r="G10" s="9">
        <f>SUM(G6:G9)</f>
        <v>13600</v>
      </c>
      <c r="H10" s="9">
        <f>SUM(H6:H8)</f>
        <v>165612</v>
      </c>
    </row>
    <row r="11" spans="1:8" x14ac:dyDescent="0.25">
      <c r="D11" s="9"/>
      <c r="E11" s="9"/>
      <c r="F11" s="9"/>
    </row>
    <row r="12" spans="1:8" x14ac:dyDescent="0.25">
      <c r="A12" s="24" t="s">
        <v>76</v>
      </c>
      <c r="D12" s="9"/>
      <c r="E12" s="9"/>
      <c r="F12" s="9"/>
    </row>
    <row r="13" spans="1:8" x14ac:dyDescent="0.25">
      <c r="A13" s="24" t="s">
        <v>1142</v>
      </c>
      <c r="B13" s="24" t="s">
        <v>197</v>
      </c>
      <c r="C13" s="49">
        <v>15000</v>
      </c>
      <c r="D13" s="49">
        <v>4389.8100000000004</v>
      </c>
      <c r="E13" s="49">
        <v>15000</v>
      </c>
      <c r="F13" s="49">
        <v>10219.73</v>
      </c>
      <c r="G13" s="9">
        <v>15000</v>
      </c>
      <c r="H13" s="9">
        <v>5403</v>
      </c>
    </row>
    <row r="14" spans="1:8" x14ac:dyDescent="0.25">
      <c r="C14" s="9"/>
      <c r="D14" s="9"/>
      <c r="E14" s="9"/>
      <c r="F14" s="9"/>
      <c r="G14" s="9"/>
      <c r="H14" s="9"/>
    </row>
    <row r="15" spans="1:8" x14ac:dyDescent="0.25">
      <c r="B15" s="24" t="s">
        <v>740</v>
      </c>
      <c r="C15" s="49">
        <f>SUM(C13:C14)</f>
        <v>15000</v>
      </c>
      <c r="D15" s="19">
        <f ca="1">SUM(D13:D15)</f>
        <v>4389.8100000000004</v>
      </c>
      <c r="E15" s="49">
        <f>E13</f>
        <v>15000</v>
      </c>
      <c r="F15" s="49">
        <f>SUM(F13:F14)</f>
        <v>10219.73</v>
      </c>
      <c r="G15" s="9">
        <f>SUM(G13:G14)</f>
        <v>15000</v>
      </c>
      <c r="H15" s="9">
        <v>5403</v>
      </c>
    </row>
    <row r="16" spans="1:8" x14ac:dyDescent="0.25">
      <c r="F16" s="9"/>
    </row>
    <row r="18" spans="1:8" x14ac:dyDescent="0.25">
      <c r="A18" s="24" t="s">
        <v>1143</v>
      </c>
      <c r="G18" s="9"/>
      <c r="H18" s="9"/>
    </row>
    <row r="19" spans="1:8" x14ac:dyDescent="0.25">
      <c r="A19" s="24" t="s">
        <v>1144</v>
      </c>
      <c r="G19" s="9"/>
      <c r="H19" s="9"/>
    </row>
    <row r="20" spans="1:8" x14ac:dyDescent="0.25">
      <c r="A20" s="24"/>
      <c r="G20" s="9"/>
      <c r="H20" s="9"/>
    </row>
    <row r="21" spans="1:8" x14ac:dyDescent="0.25">
      <c r="G21" s="9"/>
      <c r="H21" s="9"/>
    </row>
    <row r="22" spans="1:8" x14ac:dyDescent="0.25">
      <c r="A22" s="22"/>
      <c r="G22" s="9"/>
      <c r="H22" s="9"/>
    </row>
    <row r="23" spans="1:8" x14ac:dyDescent="0.25">
      <c r="G23" s="9"/>
      <c r="H23" s="9"/>
    </row>
    <row r="24" spans="1:8" x14ac:dyDescent="0.25">
      <c r="G24" s="9"/>
      <c r="H24" s="9"/>
    </row>
    <row r="25" spans="1:8" x14ac:dyDescent="0.25">
      <c r="G25" s="9"/>
      <c r="H25" s="9"/>
    </row>
    <row r="26" spans="1:8" x14ac:dyDescent="0.25">
      <c r="G26" s="9"/>
      <c r="H26" s="9"/>
    </row>
    <row r="27" spans="1:8" x14ac:dyDescent="0.25">
      <c r="A27" s="10"/>
      <c r="G27" s="9"/>
      <c r="H27" s="9"/>
    </row>
    <row r="28" spans="1:8" x14ac:dyDescent="0.25">
      <c r="G28" s="9"/>
      <c r="H28" s="9"/>
    </row>
    <row r="29" spans="1:8" x14ac:dyDescent="0.25">
      <c r="A29" s="22"/>
      <c r="G29" s="9"/>
      <c r="H29" s="9"/>
    </row>
  </sheetData>
  <pageMargins left="0.7" right="0.7" top="0.75" bottom="0.75" header="0.3" footer="0.3"/>
  <pageSetup orientation="landscape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28"/>
  <sheetViews>
    <sheetView topLeftCell="B1" workbookViewId="0">
      <selection activeCell="D16" sqref="D16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10" width="11.6640625" customWidth="1"/>
  </cols>
  <sheetData>
    <row r="1" spans="1:10" ht="15.6" x14ac:dyDescent="0.3">
      <c r="B1" s="11" t="s">
        <v>634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</row>
    <row r="2" spans="1:10" x14ac:dyDescent="0.25">
      <c r="B2" s="24" t="s">
        <v>715</v>
      </c>
      <c r="D2" s="1" t="s">
        <v>501</v>
      </c>
      <c r="E2" s="1" t="s">
        <v>1179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</row>
    <row r="4" spans="1:10" x14ac:dyDescent="0.25">
      <c r="A4" t="s">
        <v>485</v>
      </c>
    </row>
    <row r="5" spans="1:10" x14ac:dyDescent="0.25">
      <c r="A5" t="s">
        <v>77</v>
      </c>
    </row>
    <row r="7" spans="1:10" x14ac:dyDescent="0.25">
      <c r="B7" t="s">
        <v>192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x14ac:dyDescent="0.25">
      <c r="B8" t="s">
        <v>193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x14ac:dyDescent="0.25">
      <c r="B9" s="24" t="s">
        <v>881</v>
      </c>
      <c r="D9" s="9">
        <v>15345</v>
      </c>
      <c r="E9" s="9">
        <v>0</v>
      </c>
      <c r="F9" s="9">
        <v>0</v>
      </c>
      <c r="G9" s="9">
        <v>0</v>
      </c>
      <c r="H9" s="9">
        <v>17000</v>
      </c>
      <c r="I9" s="9">
        <v>13038.33</v>
      </c>
      <c r="J9" s="9">
        <v>17610</v>
      </c>
    </row>
    <row r="10" spans="1:10" x14ac:dyDescent="0.25">
      <c r="D10" s="9"/>
      <c r="E10" s="9"/>
      <c r="F10" s="9"/>
      <c r="G10" s="9"/>
      <c r="H10" s="9"/>
      <c r="I10" s="9"/>
      <c r="J10" s="9"/>
    </row>
    <row r="11" spans="1:10" x14ac:dyDescent="0.25">
      <c r="B11" s="22" t="s">
        <v>57</v>
      </c>
      <c r="D11" s="9">
        <v>15345</v>
      </c>
      <c r="E11" s="9">
        <v>0</v>
      </c>
      <c r="F11" s="9">
        <v>0</v>
      </c>
      <c r="G11" s="9">
        <v>0</v>
      </c>
      <c r="H11" s="9">
        <f>SUM(H7:H9)</f>
        <v>17000</v>
      </c>
      <c r="I11" s="9">
        <f>SUM(I7:I10)</f>
        <v>13038.33</v>
      </c>
      <c r="J11" s="9">
        <f>SUM(J7:J9)</f>
        <v>17610</v>
      </c>
    </row>
    <row r="12" spans="1:10" x14ac:dyDescent="0.25">
      <c r="D12" s="9"/>
      <c r="E12" s="9"/>
      <c r="F12" s="9"/>
      <c r="G12" s="9"/>
      <c r="H12" s="9"/>
      <c r="I12" s="9"/>
      <c r="J12" s="9"/>
    </row>
    <row r="13" spans="1:10" x14ac:dyDescent="0.25">
      <c r="A13" t="s">
        <v>76</v>
      </c>
      <c r="D13" s="9"/>
      <c r="E13" s="9"/>
      <c r="F13" s="9"/>
      <c r="G13" s="9"/>
      <c r="H13" s="9"/>
      <c r="I13" s="9"/>
      <c r="J13" s="9"/>
    </row>
    <row r="14" spans="1:10" x14ac:dyDescent="0.25">
      <c r="B14" t="s">
        <v>196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ref="I14:I16" si="0">SUM(I12)</f>
        <v>0</v>
      </c>
      <c r="J14" s="9">
        <v>0</v>
      </c>
    </row>
    <row r="15" spans="1:10" x14ac:dyDescent="0.25">
      <c r="B15" t="s">
        <v>197</v>
      </c>
      <c r="D15" s="9">
        <v>15345</v>
      </c>
      <c r="E15" s="9">
        <v>0</v>
      </c>
      <c r="F15" s="9">
        <v>17000</v>
      </c>
      <c r="G15" s="9">
        <v>0</v>
      </c>
      <c r="H15" s="9">
        <v>17000</v>
      </c>
      <c r="I15" s="9">
        <v>5939.53</v>
      </c>
      <c r="J15" s="9">
        <v>17610</v>
      </c>
    </row>
    <row r="16" spans="1:10" x14ac:dyDescent="0.25">
      <c r="B16" s="10" t="s">
        <v>39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  <c r="J16" s="9">
        <v>0</v>
      </c>
    </row>
    <row r="17" spans="1:12" x14ac:dyDescent="0.25">
      <c r="D17" s="9"/>
      <c r="E17" s="9"/>
      <c r="F17" s="9"/>
      <c r="G17" s="9"/>
      <c r="H17" s="9"/>
      <c r="I17" s="9"/>
      <c r="J17" s="9"/>
    </row>
    <row r="18" spans="1:12" x14ac:dyDescent="0.25">
      <c r="B18" s="22" t="s">
        <v>57</v>
      </c>
      <c r="D18" s="9">
        <v>15345</v>
      </c>
      <c r="E18" s="9">
        <v>0</v>
      </c>
      <c r="F18" s="9">
        <f>SUM(F14:F17)</f>
        <v>17000</v>
      </c>
      <c r="G18" s="9">
        <f>SUM(G14:G17)</f>
        <v>0</v>
      </c>
      <c r="H18" s="9">
        <f>SUM(H14:H16)</f>
        <v>17000</v>
      </c>
      <c r="I18" s="9">
        <f>SUM(I14:I16)</f>
        <v>5939.53</v>
      </c>
      <c r="J18" s="9">
        <f t="shared" ref="J18" si="1">SUM(J14:J17)</f>
        <v>17610</v>
      </c>
    </row>
    <row r="19" spans="1:12" x14ac:dyDescent="0.25">
      <c r="J19" s="9"/>
    </row>
    <row r="20" spans="1:12" x14ac:dyDescent="0.25">
      <c r="A20" s="10"/>
    </row>
    <row r="21" spans="1:12" x14ac:dyDescent="0.25">
      <c r="B21" s="24" t="s">
        <v>717</v>
      </c>
    </row>
    <row r="22" spans="1:12" x14ac:dyDescent="0.25">
      <c r="B22" s="24" t="s">
        <v>718</v>
      </c>
    </row>
    <row r="23" spans="1:12" x14ac:dyDescent="0.25">
      <c r="B23" s="24" t="s">
        <v>719</v>
      </c>
    </row>
    <row r="24" spans="1:12" x14ac:dyDescent="0.25">
      <c r="B24" s="24" t="s">
        <v>865</v>
      </c>
    </row>
    <row r="26" spans="1:12" x14ac:dyDescent="0.25">
      <c r="B26" s="43" t="s">
        <v>1071</v>
      </c>
    </row>
    <row r="28" spans="1:12" x14ac:dyDescent="0.25">
      <c r="B28" s="24" t="s">
        <v>1137</v>
      </c>
      <c r="L28" s="24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32"/>
  <sheetViews>
    <sheetView workbookViewId="0">
      <selection activeCell="E16" sqref="E16"/>
    </sheetView>
  </sheetViews>
  <sheetFormatPr defaultRowHeight="13.2" x14ac:dyDescent="0.25"/>
  <cols>
    <col min="1" max="1" width="18.44140625" customWidth="1"/>
    <col min="2" max="2" width="37.33203125" bestFit="1" customWidth="1"/>
    <col min="3" max="3" width="5.6640625" customWidth="1"/>
    <col min="4" max="9" width="11.6640625" customWidth="1"/>
  </cols>
  <sheetData>
    <row r="1" spans="1:9" ht="15.6" x14ac:dyDescent="0.3">
      <c r="B1" s="11" t="s">
        <v>655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</row>
    <row r="2" spans="1:9" x14ac:dyDescent="0.25">
      <c r="B2" s="24" t="s">
        <v>1358</v>
      </c>
      <c r="D2" s="1" t="s">
        <v>501</v>
      </c>
      <c r="E2" s="1" t="s">
        <v>1179</v>
      </c>
      <c r="F2" s="36" t="s">
        <v>501</v>
      </c>
      <c r="G2" s="36" t="s">
        <v>794</v>
      </c>
      <c r="H2" s="36" t="s">
        <v>501</v>
      </c>
      <c r="I2" s="36" t="s">
        <v>794</v>
      </c>
    </row>
    <row r="3" spans="1:9" x14ac:dyDescent="0.25">
      <c r="H3" s="1"/>
    </row>
    <row r="4" spans="1:9" x14ac:dyDescent="0.25">
      <c r="A4" t="s">
        <v>485</v>
      </c>
    </row>
    <row r="5" spans="1:9" x14ac:dyDescent="0.25">
      <c r="A5" t="s">
        <v>77</v>
      </c>
    </row>
    <row r="7" spans="1:9" x14ac:dyDescent="0.25">
      <c r="B7" t="s">
        <v>192</v>
      </c>
      <c r="D7" s="9">
        <v>105000</v>
      </c>
      <c r="E7" s="9">
        <v>105000</v>
      </c>
      <c r="F7" s="9">
        <v>105000</v>
      </c>
      <c r="G7" s="9">
        <v>100000</v>
      </c>
      <c r="H7" s="9">
        <v>100000</v>
      </c>
      <c r="I7" s="9">
        <v>95000</v>
      </c>
    </row>
    <row r="8" spans="1:9" x14ac:dyDescent="0.25">
      <c r="B8" t="s">
        <v>193</v>
      </c>
      <c r="D8" s="9">
        <v>8643</v>
      </c>
      <c r="E8" s="9">
        <v>18124.5</v>
      </c>
      <c r="F8" s="9">
        <v>18125</v>
      </c>
      <c r="G8" s="9">
        <v>20770</v>
      </c>
      <c r="H8" s="9">
        <v>20770</v>
      </c>
      <c r="I8" s="9">
        <v>23284.5</v>
      </c>
    </row>
    <row r="9" spans="1:9" x14ac:dyDescent="0.25">
      <c r="B9" t="s">
        <v>194</v>
      </c>
      <c r="D9" s="9">
        <v>0</v>
      </c>
      <c r="E9" s="9">
        <v>400</v>
      </c>
      <c r="F9" s="9">
        <v>400</v>
      </c>
      <c r="G9" s="9">
        <v>400</v>
      </c>
      <c r="H9" s="9">
        <v>400</v>
      </c>
      <c r="I9" s="9">
        <v>400</v>
      </c>
    </row>
    <row r="10" spans="1:9" x14ac:dyDescent="0.25">
      <c r="D10" s="9"/>
      <c r="E10" s="9"/>
      <c r="F10" s="9"/>
      <c r="G10" s="9"/>
      <c r="H10" s="9"/>
      <c r="I10" s="9"/>
    </row>
    <row r="11" spans="1:9" x14ac:dyDescent="0.25">
      <c r="B11" s="22" t="s">
        <v>57</v>
      </c>
      <c r="D11" s="9">
        <f>SUM(D7:D10)</f>
        <v>113643</v>
      </c>
      <c r="E11" s="9">
        <f>SUM(E7:E9)</f>
        <v>123524.5</v>
      </c>
      <c r="F11" s="9">
        <f>SUM(F7:F9)</f>
        <v>123525</v>
      </c>
      <c r="G11" s="9">
        <f>SUM(G7:G9)</f>
        <v>121170</v>
      </c>
      <c r="H11" s="9">
        <f>SUM(H7:H9)</f>
        <v>121170</v>
      </c>
      <c r="I11" s="9">
        <f t="shared" ref="I11" si="0">SUM(I7:I10)</f>
        <v>118684.5</v>
      </c>
    </row>
    <row r="12" spans="1:9" x14ac:dyDescent="0.25">
      <c r="E12" s="9"/>
      <c r="F12" s="9"/>
      <c r="G12" s="9"/>
      <c r="H12" s="9"/>
      <c r="I12" s="9"/>
    </row>
    <row r="13" spans="1:9" x14ac:dyDescent="0.25">
      <c r="A13" t="s">
        <v>76</v>
      </c>
      <c r="E13" s="9"/>
      <c r="F13" s="9"/>
      <c r="G13" s="9"/>
      <c r="H13" s="9"/>
      <c r="I13" s="9"/>
    </row>
    <row r="14" spans="1:9" x14ac:dyDescent="0.25">
      <c r="B14" s="24" t="s">
        <v>1084</v>
      </c>
      <c r="D14" s="9">
        <v>0</v>
      </c>
      <c r="E14" s="9">
        <f>51941.27</f>
        <v>51941.27</v>
      </c>
      <c r="F14" s="19">
        <v>98525</v>
      </c>
      <c r="G14" s="9">
        <v>97787.85</v>
      </c>
      <c r="H14" s="9">
        <v>96170</v>
      </c>
      <c r="I14" s="9">
        <v>93633.53</v>
      </c>
    </row>
    <row r="15" spans="1:9" x14ac:dyDescent="0.25">
      <c r="B15" s="24" t="s">
        <v>1384</v>
      </c>
      <c r="D15" s="9">
        <v>0</v>
      </c>
      <c r="E15" s="9">
        <v>0</v>
      </c>
      <c r="F15" s="19">
        <v>0</v>
      </c>
      <c r="G15" s="9">
        <v>0</v>
      </c>
      <c r="H15" s="9">
        <v>0</v>
      </c>
      <c r="I15" s="9"/>
    </row>
    <row r="16" spans="1:9" x14ac:dyDescent="0.25">
      <c r="B16" s="24" t="s">
        <v>691</v>
      </c>
      <c r="D16" s="9">
        <v>0</v>
      </c>
      <c r="E16" s="9">
        <v>39.340000000000003</v>
      </c>
      <c r="F16" s="9">
        <f>SUM(F12)</f>
        <v>0</v>
      </c>
      <c r="G16" s="9">
        <v>77.48</v>
      </c>
      <c r="H16" s="9">
        <v>0</v>
      </c>
      <c r="I16" s="9">
        <v>63.92</v>
      </c>
    </row>
    <row r="17" spans="1:11" x14ac:dyDescent="0.25">
      <c r="B17" t="s">
        <v>199</v>
      </c>
      <c r="D17" s="9">
        <v>0</v>
      </c>
      <c r="E17" s="9">
        <v>0</v>
      </c>
      <c r="F17" s="9">
        <f>SUM(F13)</f>
        <v>0</v>
      </c>
      <c r="G17" s="9">
        <v>0</v>
      </c>
      <c r="H17" s="9">
        <v>0</v>
      </c>
      <c r="I17" s="9">
        <v>0</v>
      </c>
    </row>
    <row r="18" spans="1:11" x14ac:dyDescent="0.25">
      <c r="B18" s="24" t="s">
        <v>716</v>
      </c>
      <c r="D18" s="9">
        <v>0</v>
      </c>
      <c r="E18" s="9">
        <v>28769.85</v>
      </c>
      <c r="F18" s="9">
        <v>25000</v>
      </c>
      <c r="G18" s="9">
        <v>20679.87</v>
      </c>
      <c r="H18" s="9">
        <v>25000</v>
      </c>
      <c r="I18" s="9">
        <f>33180.88-1642</f>
        <v>31538.879999999997</v>
      </c>
    </row>
    <row r="19" spans="1:11" x14ac:dyDescent="0.25">
      <c r="B19" s="24"/>
      <c r="D19" s="9"/>
      <c r="E19" s="9"/>
      <c r="F19" s="9"/>
      <c r="G19" s="9"/>
      <c r="H19" s="9"/>
      <c r="I19" s="9"/>
    </row>
    <row r="20" spans="1:11" x14ac:dyDescent="0.25">
      <c r="B20" s="22" t="s">
        <v>57</v>
      </c>
      <c r="D20" s="9">
        <v>0</v>
      </c>
      <c r="E20" s="9">
        <f>SUM(E14:E19)</f>
        <v>80750.459999999992</v>
      </c>
      <c r="F20" s="9">
        <f>SUM(F14:F18)</f>
        <v>123525</v>
      </c>
      <c r="G20" s="9">
        <f>SUM(G14:G18)</f>
        <v>118545.2</v>
      </c>
      <c r="H20" s="9">
        <f>SUM(H14:H18)</f>
        <v>121170</v>
      </c>
      <c r="I20" s="9">
        <f t="shared" ref="I20" si="1">SUM(I14:I19)</f>
        <v>125236.32999999999</v>
      </c>
    </row>
    <row r="21" spans="1:11" x14ac:dyDescent="0.25">
      <c r="E21" s="9"/>
    </row>
    <row r="22" spans="1:11" x14ac:dyDescent="0.25">
      <c r="A22" s="10"/>
    </row>
    <row r="23" spans="1:11" x14ac:dyDescent="0.25">
      <c r="A23" s="24" t="s">
        <v>720</v>
      </c>
    </row>
    <row r="24" spans="1:11" x14ac:dyDescent="0.25">
      <c r="A24" s="24" t="s">
        <v>721</v>
      </c>
    </row>
    <row r="25" spans="1:11" x14ac:dyDescent="0.25">
      <c r="A25" s="24" t="s">
        <v>722</v>
      </c>
    </row>
    <row r="27" spans="1:11" x14ac:dyDescent="0.25">
      <c r="A27" s="24" t="s">
        <v>1357</v>
      </c>
    </row>
    <row r="32" spans="1:11" x14ac:dyDescent="0.25">
      <c r="K32" s="24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22"/>
  <sheetViews>
    <sheetView workbookViewId="0">
      <selection activeCell="E13" sqref="E13"/>
    </sheetView>
  </sheetViews>
  <sheetFormatPr defaultRowHeight="13.2" x14ac:dyDescent="0.25"/>
  <cols>
    <col min="2" max="2" width="27.33203125" bestFit="1" customWidth="1"/>
    <col min="3" max="3" width="6.33203125" customWidth="1"/>
    <col min="4" max="9" width="11.6640625" customWidth="1"/>
    <col min="10" max="10" width="10.33203125" bestFit="1" customWidth="1"/>
  </cols>
  <sheetData>
    <row r="1" spans="1:12" ht="15.6" x14ac:dyDescent="0.3">
      <c r="B1" s="11" t="s">
        <v>882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>
        <v>2018</v>
      </c>
      <c r="K1" s="36"/>
      <c r="L1" s="36"/>
    </row>
    <row r="2" spans="1:12" x14ac:dyDescent="0.25">
      <c r="B2" s="24" t="s">
        <v>724</v>
      </c>
      <c r="D2" s="1" t="s">
        <v>501</v>
      </c>
      <c r="E2" s="1" t="s">
        <v>1179</v>
      </c>
      <c r="F2" s="36" t="s">
        <v>501</v>
      </c>
      <c r="G2" s="36" t="s">
        <v>794</v>
      </c>
      <c r="H2" s="36" t="s">
        <v>501</v>
      </c>
      <c r="I2" s="36" t="s">
        <v>794</v>
      </c>
      <c r="J2" s="36" t="s">
        <v>501</v>
      </c>
      <c r="K2" s="36"/>
      <c r="L2" s="36"/>
    </row>
    <row r="4" spans="1:12" x14ac:dyDescent="0.25">
      <c r="A4" t="s">
        <v>485</v>
      </c>
    </row>
    <row r="5" spans="1:12" x14ac:dyDescent="0.25">
      <c r="A5" t="s">
        <v>77</v>
      </c>
    </row>
    <row r="6" spans="1:12" x14ac:dyDescent="0.25">
      <c r="C6" s="9"/>
      <c r="D6" s="9"/>
      <c r="E6" s="9"/>
      <c r="F6" s="9"/>
      <c r="G6" s="9"/>
      <c r="H6" s="9"/>
      <c r="I6" s="9"/>
      <c r="J6" s="9"/>
      <c r="K6" s="9"/>
    </row>
    <row r="7" spans="1:12" x14ac:dyDescent="0.25">
      <c r="A7" s="24"/>
      <c r="B7" s="24" t="s">
        <v>883</v>
      </c>
      <c r="C7" s="9"/>
      <c r="D7" s="9">
        <v>19036</v>
      </c>
      <c r="E7" s="9">
        <v>0</v>
      </c>
      <c r="F7" s="9">
        <v>25000</v>
      </c>
      <c r="G7" s="9">
        <v>15055.16</v>
      </c>
      <c r="H7" s="9">
        <v>8000</v>
      </c>
      <c r="I7" s="9">
        <v>41540.160000000003</v>
      </c>
      <c r="J7" s="9">
        <v>8165</v>
      </c>
      <c r="K7" s="9"/>
      <c r="L7" s="9"/>
    </row>
    <row r="8" spans="1:12" x14ac:dyDescent="0.25">
      <c r="C8" s="9"/>
      <c r="D8" s="9"/>
      <c r="E8" s="9"/>
      <c r="F8" s="9"/>
      <c r="G8" s="9"/>
      <c r="H8" s="9"/>
      <c r="I8" s="9"/>
      <c r="J8" s="9"/>
      <c r="K8" s="9"/>
      <c r="L8" s="34"/>
    </row>
    <row r="9" spans="1:12" x14ac:dyDescent="0.25">
      <c r="B9" s="22" t="s">
        <v>57</v>
      </c>
      <c r="C9" s="9"/>
      <c r="D9" s="9">
        <v>19036</v>
      </c>
      <c r="E9" s="9">
        <v>0</v>
      </c>
      <c r="F9" s="9">
        <f>F7</f>
        <v>25000</v>
      </c>
      <c r="G9" s="9">
        <f>G7</f>
        <v>15055.16</v>
      </c>
      <c r="H9" s="9">
        <v>8000</v>
      </c>
      <c r="I9" s="9">
        <f>SUM(I7:I8)</f>
        <v>41540.160000000003</v>
      </c>
      <c r="J9" s="9">
        <v>8165</v>
      </c>
      <c r="K9" s="9"/>
      <c r="L9" s="34"/>
    </row>
    <row r="10" spans="1:12" x14ac:dyDescent="0.25"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t="s">
        <v>76</v>
      </c>
      <c r="C11" s="9"/>
      <c r="D11" s="9"/>
      <c r="E11" s="9"/>
      <c r="F11" s="9"/>
      <c r="G11" s="9"/>
      <c r="H11" s="9"/>
      <c r="I11" s="9"/>
      <c r="J11" s="9"/>
      <c r="K11" s="9"/>
      <c r="L11" s="18"/>
    </row>
    <row r="12" spans="1:12" x14ac:dyDescent="0.25">
      <c r="B12" t="s">
        <v>197</v>
      </c>
      <c r="C12" s="9"/>
      <c r="D12" s="9">
        <v>19036</v>
      </c>
      <c r="E12" s="9">
        <v>5764.68</v>
      </c>
      <c r="F12" s="9">
        <v>25000</v>
      </c>
      <c r="G12" s="9">
        <v>24161.06</v>
      </c>
      <c r="H12" s="9">
        <v>8000</v>
      </c>
      <c r="I12" s="9">
        <v>14539.29</v>
      </c>
      <c r="J12" s="9">
        <v>8165</v>
      </c>
      <c r="K12" s="9"/>
      <c r="L12" s="34"/>
    </row>
    <row r="13" spans="1:12" x14ac:dyDescent="0.25">
      <c r="B13" s="24" t="s">
        <v>1385</v>
      </c>
      <c r="C13" s="9"/>
      <c r="D13" s="9">
        <v>0</v>
      </c>
      <c r="E13" s="9">
        <v>1294.75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/>
      <c r="L13" s="34"/>
    </row>
    <row r="14" spans="1:12" x14ac:dyDescent="0.25">
      <c r="B14" s="24" t="s">
        <v>635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/>
      <c r="L14" s="34"/>
    </row>
    <row r="15" spans="1:12" x14ac:dyDescent="0.25">
      <c r="B15" t="s">
        <v>198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/>
      <c r="L15" s="34"/>
    </row>
    <row r="16" spans="1:12" x14ac:dyDescent="0.25">
      <c r="B16" s="24" t="s">
        <v>723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/>
      <c r="L16" s="34"/>
    </row>
    <row r="17" spans="1:12" x14ac:dyDescent="0.25">
      <c r="C17" s="9"/>
      <c r="D17" s="9"/>
      <c r="E17" s="9"/>
      <c r="F17" s="9"/>
      <c r="G17" s="9"/>
      <c r="H17" s="9"/>
      <c r="I17" s="9"/>
      <c r="J17" s="9"/>
      <c r="K17" s="9"/>
      <c r="L17" s="34"/>
    </row>
    <row r="18" spans="1:12" x14ac:dyDescent="0.25">
      <c r="B18" s="22" t="s">
        <v>57</v>
      </c>
      <c r="C18" s="9"/>
      <c r="D18" s="9">
        <f>D12</f>
        <v>19036</v>
      </c>
      <c r="E18" s="9">
        <f>SUM(E12:E16)</f>
        <v>7059.43</v>
      </c>
      <c r="F18" s="9">
        <f>SUM(F12:F16)</f>
        <v>25000</v>
      </c>
      <c r="G18" s="9">
        <f>SUM(G12:G16)</f>
        <v>24161.06</v>
      </c>
      <c r="H18" s="9">
        <v>8000</v>
      </c>
      <c r="I18" s="9">
        <f t="shared" ref="I18:J18" si="0">SUM(I12:I17)</f>
        <v>14539.29</v>
      </c>
      <c r="J18" s="9">
        <f t="shared" si="0"/>
        <v>8165</v>
      </c>
      <c r="K18" s="9"/>
      <c r="L18" s="34"/>
    </row>
    <row r="19" spans="1:12" x14ac:dyDescent="0.25">
      <c r="C19" s="9"/>
      <c r="D19" s="9"/>
      <c r="E19" s="9"/>
      <c r="F19" s="9"/>
      <c r="G19" s="9"/>
      <c r="H19" s="9"/>
      <c r="I19" s="9"/>
      <c r="J19" s="9"/>
    </row>
    <row r="20" spans="1:12" x14ac:dyDescent="0.25">
      <c r="C20" s="9"/>
      <c r="D20" s="9"/>
      <c r="E20" s="9"/>
      <c r="F20" s="9"/>
      <c r="G20" s="9"/>
      <c r="H20" s="9"/>
      <c r="I20" s="9"/>
      <c r="J20" s="9"/>
    </row>
    <row r="21" spans="1:12" x14ac:dyDescent="0.25">
      <c r="A21" t="s">
        <v>1085</v>
      </c>
      <c r="B21" s="24"/>
    </row>
    <row r="22" spans="1:12" x14ac:dyDescent="0.25">
      <c r="A22" s="24" t="s">
        <v>1145</v>
      </c>
    </row>
  </sheetData>
  <pageMargins left="0.7" right="0.7" top="0.75" bottom="0.75" header="0.3" footer="0.3"/>
  <pageSetup orientation="landscape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34"/>
  <sheetViews>
    <sheetView workbookViewId="0">
      <selection activeCell="E25" sqref="E25"/>
    </sheetView>
  </sheetViews>
  <sheetFormatPr defaultRowHeight="13.2" x14ac:dyDescent="0.25"/>
  <cols>
    <col min="1" max="1" width="16.33203125" bestFit="1" customWidth="1"/>
    <col min="2" max="2" width="27.33203125" bestFit="1" customWidth="1"/>
    <col min="4" max="9" width="11.6640625" customWidth="1"/>
  </cols>
  <sheetData>
    <row r="1" spans="1:13" ht="15.6" x14ac:dyDescent="0.3">
      <c r="B1" s="11" t="s">
        <v>877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>
        <v>2018</v>
      </c>
      <c r="J1" s="36"/>
      <c r="K1" s="36"/>
      <c r="L1" s="36"/>
      <c r="M1" s="36"/>
    </row>
    <row r="2" spans="1:13" x14ac:dyDescent="0.25">
      <c r="B2" s="24" t="s">
        <v>878</v>
      </c>
      <c r="D2" s="1" t="s">
        <v>501</v>
      </c>
      <c r="E2" s="1" t="s">
        <v>1179</v>
      </c>
      <c r="F2" s="36" t="s">
        <v>501</v>
      </c>
      <c r="G2" s="36" t="s">
        <v>794</v>
      </c>
      <c r="H2" s="36" t="s">
        <v>501</v>
      </c>
      <c r="I2" s="36" t="s">
        <v>794</v>
      </c>
      <c r="J2" s="36"/>
      <c r="K2" s="36"/>
      <c r="L2" s="36"/>
      <c r="M2" s="36"/>
    </row>
    <row r="4" spans="1:13" x14ac:dyDescent="0.25">
      <c r="A4" t="s">
        <v>485</v>
      </c>
    </row>
    <row r="5" spans="1:13" x14ac:dyDescent="0.25">
      <c r="A5" t="s">
        <v>77</v>
      </c>
    </row>
    <row r="6" spans="1:13" x14ac:dyDescent="0.25">
      <c r="L6" s="9"/>
    </row>
    <row r="7" spans="1:13" x14ac:dyDescent="0.25">
      <c r="A7" s="24"/>
      <c r="B7" t="s">
        <v>192</v>
      </c>
      <c r="D7" s="9">
        <v>56000</v>
      </c>
      <c r="E7" s="9">
        <v>58000</v>
      </c>
      <c r="F7" s="9">
        <v>58000</v>
      </c>
      <c r="G7" s="9">
        <v>53000</v>
      </c>
      <c r="H7" s="9">
        <v>53000</v>
      </c>
      <c r="I7" s="9">
        <v>54000</v>
      </c>
      <c r="J7" s="9"/>
      <c r="K7" s="9"/>
      <c r="L7" s="9"/>
      <c r="M7" s="9"/>
    </row>
    <row r="8" spans="1:13" x14ac:dyDescent="0.25">
      <c r="A8" s="24"/>
      <c r="B8" t="s">
        <v>193</v>
      </c>
      <c r="D8" s="9">
        <v>3036</v>
      </c>
      <c r="E8" s="9">
        <v>4347</v>
      </c>
      <c r="F8" s="9">
        <v>4347</v>
      </c>
      <c r="G8" s="9">
        <v>5623.5</v>
      </c>
      <c r="H8" s="9">
        <v>5624</v>
      </c>
      <c r="I8" s="9">
        <v>6854</v>
      </c>
      <c r="J8" s="9"/>
      <c r="K8" s="9"/>
      <c r="L8" s="9"/>
      <c r="M8" s="9"/>
    </row>
    <row r="9" spans="1:13" x14ac:dyDescent="0.25">
      <c r="B9" t="s">
        <v>194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/>
      <c r="K9" s="9"/>
      <c r="L9" s="9"/>
      <c r="M9" s="9"/>
    </row>
    <row r="10" spans="1:13" x14ac:dyDescent="0.25">
      <c r="B10" t="s">
        <v>195</v>
      </c>
      <c r="D10" s="9">
        <v>125</v>
      </c>
      <c r="E10" s="9">
        <v>0</v>
      </c>
      <c r="F10" s="9">
        <v>125</v>
      </c>
      <c r="G10" s="9">
        <v>125</v>
      </c>
      <c r="H10" s="9">
        <v>125</v>
      </c>
      <c r="I10" s="9">
        <v>125</v>
      </c>
      <c r="J10" s="9"/>
      <c r="K10" s="9"/>
      <c r="L10" s="9"/>
      <c r="M10" s="9"/>
    </row>
    <row r="11" spans="1:13" x14ac:dyDescent="0.25">
      <c r="B11" t="s">
        <v>1293</v>
      </c>
      <c r="D11" s="9">
        <v>0</v>
      </c>
      <c r="E11" s="9">
        <v>0</v>
      </c>
      <c r="F11" s="9">
        <v>0</v>
      </c>
      <c r="G11" s="9">
        <v>20792</v>
      </c>
      <c r="H11" s="9"/>
      <c r="I11" s="9"/>
      <c r="J11" s="9"/>
      <c r="K11" s="9"/>
      <c r="L11" s="9"/>
      <c r="M11" s="9"/>
    </row>
    <row r="12" spans="1:13" x14ac:dyDescent="0.25">
      <c r="D12" s="9"/>
      <c r="E12" s="9"/>
      <c r="F12" s="9"/>
      <c r="G12" s="9"/>
      <c r="H12" s="9"/>
      <c r="I12" s="9"/>
      <c r="J12" s="9"/>
      <c r="K12" s="9"/>
      <c r="L12" s="9"/>
      <c r="M12" s="34"/>
    </row>
    <row r="13" spans="1:13" x14ac:dyDescent="0.25">
      <c r="B13" s="22" t="s">
        <v>57</v>
      </c>
      <c r="D13" s="9">
        <f>SUM(D7:D11)</f>
        <v>59161</v>
      </c>
      <c r="E13" s="9">
        <f>SUM(E7:E12)</f>
        <v>62347</v>
      </c>
      <c r="F13" s="9">
        <f>SUM(F7:F11)</f>
        <v>62472</v>
      </c>
      <c r="G13" s="9">
        <f>SUM(G7:G11)</f>
        <v>79540.5</v>
      </c>
      <c r="H13" s="9">
        <f>SUM(H7:H10)</f>
        <v>58749</v>
      </c>
      <c r="I13" s="9">
        <f>SUM(I7:I12)</f>
        <v>60979</v>
      </c>
      <c r="J13" s="9"/>
      <c r="K13" s="9"/>
      <c r="L13" s="9"/>
      <c r="M13" s="34"/>
    </row>
    <row r="14" spans="1:13" x14ac:dyDescent="0.25"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t="s">
        <v>76</v>
      </c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3" x14ac:dyDescent="0.25">
      <c r="B16" s="24" t="s">
        <v>879</v>
      </c>
      <c r="D16" s="9">
        <v>19036</v>
      </c>
      <c r="E16" s="9">
        <v>9105.9</v>
      </c>
      <c r="F16" s="9">
        <v>8000</v>
      </c>
      <c r="G16" s="9">
        <v>15055.16</v>
      </c>
      <c r="H16" s="9">
        <v>8000</v>
      </c>
      <c r="I16" s="9">
        <v>41540.160000000003</v>
      </c>
      <c r="J16" s="9"/>
      <c r="K16" s="9"/>
      <c r="L16" s="9"/>
      <c r="M16" s="41"/>
    </row>
    <row r="17" spans="2:13" x14ac:dyDescent="0.25">
      <c r="B17" s="24" t="s">
        <v>880</v>
      </c>
      <c r="D17" s="9">
        <v>15345</v>
      </c>
      <c r="E17" s="9">
        <v>0</v>
      </c>
      <c r="F17" s="9">
        <v>17000</v>
      </c>
      <c r="G17" s="9"/>
      <c r="H17" s="9">
        <v>17000</v>
      </c>
      <c r="I17" s="9">
        <v>13038.33</v>
      </c>
      <c r="J17" s="9"/>
      <c r="K17" s="9"/>
      <c r="L17" s="9"/>
      <c r="M17" s="34"/>
    </row>
    <row r="18" spans="2:13" x14ac:dyDescent="0.25">
      <c r="B18" s="24" t="s">
        <v>1072</v>
      </c>
      <c r="D18" s="9">
        <v>0</v>
      </c>
      <c r="E18" s="9">
        <v>0</v>
      </c>
      <c r="F18" s="9">
        <v>0</v>
      </c>
      <c r="G18" s="9"/>
      <c r="H18" s="9">
        <v>0</v>
      </c>
      <c r="I18" s="9">
        <v>0</v>
      </c>
      <c r="J18" s="9"/>
      <c r="K18" s="9"/>
      <c r="L18" s="9"/>
      <c r="M18" s="34"/>
    </row>
    <row r="19" spans="2:13" x14ac:dyDescent="0.25">
      <c r="B19" s="24" t="s">
        <v>1097</v>
      </c>
      <c r="D19" s="9">
        <v>0</v>
      </c>
      <c r="E19" s="9">
        <v>0</v>
      </c>
      <c r="F19" s="9">
        <v>0</v>
      </c>
      <c r="G19" s="9">
        <v>0</v>
      </c>
      <c r="H19" s="9">
        <v>25000</v>
      </c>
      <c r="I19" s="9">
        <v>0</v>
      </c>
      <c r="J19" s="9"/>
      <c r="K19" s="9"/>
      <c r="L19" s="9"/>
      <c r="M19" s="34"/>
    </row>
    <row r="20" spans="2:13" x14ac:dyDescent="0.25">
      <c r="B20" s="24" t="s">
        <v>1204</v>
      </c>
      <c r="D20" s="9">
        <v>0</v>
      </c>
      <c r="E20" s="9">
        <v>28003.53</v>
      </c>
      <c r="F20" s="9">
        <v>0</v>
      </c>
      <c r="G20" s="9">
        <v>10281.08</v>
      </c>
      <c r="H20" s="9">
        <v>0</v>
      </c>
      <c r="I20" s="9">
        <v>15688.14</v>
      </c>
      <c r="J20" s="9"/>
      <c r="K20" s="9"/>
      <c r="L20" s="9"/>
      <c r="M20" s="34"/>
    </row>
    <row r="21" spans="2:13" x14ac:dyDescent="0.25">
      <c r="B21" t="s">
        <v>197</v>
      </c>
      <c r="D21" s="9">
        <v>0</v>
      </c>
      <c r="E21" s="9">
        <v>22.19</v>
      </c>
      <c r="F21" s="9">
        <v>19000</v>
      </c>
      <c r="G21" s="9">
        <v>24915</v>
      </c>
      <c r="H21" s="9">
        <v>0</v>
      </c>
      <c r="I21" s="9">
        <v>0</v>
      </c>
      <c r="J21" s="9"/>
      <c r="K21" s="9"/>
      <c r="L21" s="9"/>
      <c r="M21" s="34"/>
    </row>
    <row r="22" spans="2:13" x14ac:dyDescent="0.25">
      <c r="B22" t="s">
        <v>691</v>
      </c>
      <c r="D22" s="9">
        <v>0</v>
      </c>
      <c r="E22" s="9">
        <v>12.48</v>
      </c>
      <c r="F22" s="9">
        <v>0</v>
      </c>
      <c r="G22" s="9">
        <v>57.57</v>
      </c>
      <c r="H22" s="9">
        <v>0</v>
      </c>
      <c r="I22" s="9">
        <v>79.97</v>
      </c>
      <c r="J22" s="9"/>
      <c r="K22" s="9"/>
      <c r="L22" s="9"/>
      <c r="M22" s="34"/>
    </row>
    <row r="23" spans="2:13" x14ac:dyDescent="0.25">
      <c r="B23" s="24" t="s">
        <v>635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/>
      <c r="K23" s="9"/>
      <c r="L23" s="9"/>
      <c r="M23" s="34"/>
    </row>
    <row r="24" spans="2:13" x14ac:dyDescent="0.25">
      <c r="B24" t="s">
        <v>1292</v>
      </c>
      <c r="D24" s="9">
        <v>0</v>
      </c>
      <c r="E24" s="9">
        <v>0</v>
      </c>
      <c r="F24" s="9">
        <v>0</v>
      </c>
      <c r="G24" s="9">
        <v>18399.38</v>
      </c>
      <c r="H24" s="9">
        <v>0</v>
      </c>
      <c r="I24" s="9">
        <v>20183.14</v>
      </c>
      <c r="J24" s="9"/>
      <c r="K24" s="9"/>
      <c r="L24" s="9"/>
      <c r="M24" s="34"/>
    </row>
    <row r="25" spans="2:13" x14ac:dyDescent="0.25">
      <c r="B25" s="24" t="s">
        <v>723</v>
      </c>
      <c r="D25" s="9">
        <v>0</v>
      </c>
      <c r="E25" s="9">
        <v>960.71</v>
      </c>
      <c r="F25" s="9">
        <v>0</v>
      </c>
      <c r="G25" s="9">
        <v>8687.43</v>
      </c>
      <c r="H25" s="9">
        <v>0</v>
      </c>
      <c r="I25" s="9">
        <v>3842.86</v>
      </c>
      <c r="J25" s="9"/>
      <c r="K25" s="9"/>
      <c r="L25" s="9"/>
      <c r="M25" s="34"/>
    </row>
    <row r="26" spans="2:13" x14ac:dyDescent="0.25">
      <c r="B26" s="24" t="s">
        <v>1135</v>
      </c>
      <c r="D26" s="9">
        <v>24780</v>
      </c>
      <c r="E26" s="9">
        <v>0</v>
      </c>
      <c r="F26" s="9">
        <v>18472</v>
      </c>
      <c r="G26" s="9">
        <v>0</v>
      </c>
      <c r="H26" s="9">
        <v>8749</v>
      </c>
      <c r="I26" s="9">
        <v>0</v>
      </c>
      <c r="J26" s="9"/>
      <c r="K26" s="9"/>
      <c r="L26" s="9"/>
      <c r="M26" s="34"/>
    </row>
    <row r="27" spans="2:13" x14ac:dyDescent="0.25">
      <c r="B27" s="24"/>
      <c r="D27" s="9"/>
      <c r="E27" s="9"/>
      <c r="F27" s="9"/>
      <c r="G27" s="9"/>
      <c r="H27" s="9"/>
      <c r="I27" s="9"/>
      <c r="J27" s="9"/>
      <c r="K27" s="9"/>
      <c r="L27" s="9"/>
      <c r="M27" s="34"/>
    </row>
    <row r="28" spans="2:13" x14ac:dyDescent="0.25">
      <c r="D28" s="9"/>
      <c r="E28" s="9"/>
      <c r="F28" s="9"/>
      <c r="G28" s="9"/>
      <c r="H28" s="9"/>
      <c r="I28" s="9"/>
      <c r="J28" s="9"/>
      <c r="K28" s="9"/>
      <c r="L28" s="9"/>
      <c r="M28" s="34"/>
    </row>
    <row r="29" spans="2:13" x14ac:dyDescent="0.25">
      <c r="B29" s="22" t="s">
        <v>57</v>
      </c>
      <c r="D29" s="9">
        <f>SUM(D16:D27)</f>
        <v>59161</v>
      </c>
      <c r="E29" s="9">
        <f>SUM(E16:E26)</f>
        <v>38104.810000000005</v>
      </c>
      <c r="F29" s="9">
        <f>SUM(F16:F26)</f>
        <v>62472</v>
      </c>
      <c r="G29" s="9">
        <f>SUM(G16:G26)</f>
        <v>77395.62</v>
      </c>
      <c r="H29" s="9">
        <f>SUM(H16:H26)</f>
        <v>58749</v>
      </c>
      <c r="I29" s="9">
        <f>SUM(I16:I28)</f>
        <v>94372.6</v>
      </c>
    </row>
    <row r="30" spans="2:13" x14ac:dyDescent="0.25">
      <c r="E30" s="9"/>
    </row>
    <row r="33" spans="1:1" x14ac:dyDescent="0.25">
      <c r="A33" t="s">
        <v>1096</v>
      </c>
    </row>
    <row r="34" spans="1:1" x14ac:dyDescent="0.25">
      <c r="A34" s="24" t="s">
        <v>1191</v>
      </c>
    </row>
  </sheetData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topLeftCell="A4" zoomScaleNormal="100" workbookViewId="0">
      <selection activeCell="D23" sqref="D23"/>
    </sheetView>
  </sheetViews>
  <sheetFormatPr defaultRowHeight="13.2" x14ac:dyDescent="0.25"/>
  <cols>
    <col min="1" max="1" width="18.33203125" customWidth="1"/>
    <col min="2" max="2" width="27.44140625" customWidth="1"/>
    <col min="3" max="5" width="11.6640625" customWidth="1"/>
    <col min="6" max="6" width="11.88671875" customWidth="1"/>
    <col min="7" max="9" width="11.6640625" customWidth="1"/>
  </cols>
  <sheetData>
    <row r="1" spans="1:9" ht="15.6" x14ac:dyDescent="0.3">
      <c r="B1" s="11" t="s">
        <v>476</v>
      </c>
      <c r="C1" s="1">
        <v>2021</v>
      </c>
      <c r="D1" s="36">
        <v>2020</v>
      </c>
      <c r="E1" s="36">
        <v>2020</v>
      </c>
      <c r="F1" s="36">
        <v>2019</v>
      </c>
      <c r="G1" s="36">
        <v>2019</v>
      </c>
      <c r="H1" s="36">
        <v>2018</v>
      </c>
      <c r="I1" s="36">
        <v>2018</v>
      </c>
    </row>
    <row r="2" spans="1:9" x14ac:dyDescent="0.25">
      <c r="A2" t="s">
        <v>77</v>
      </c>
      <c r="C2" s="1" t="s">
        <v>501</v>
      </c>
      <c r="D2" s="36" t="s">
        <v>1179</v>
      </c>
      <c r="E2" s="36" t="s">
        <v>501</v>
      </c>
      <c r="F2" s="36" t="s">
        <v>794</v>
      </c>
      <c r="G2" s="36" t="s">
        <v>501</v>
      </c>
      <c r="H2" s="36" t="s">
        <v>794</v>
      </c>
      <c r="I2" s="36" t="s">
        <v>501</v>
      </c>
    </row>
    <row r="3" spans="1:9" x14ac:dyDescent="0.25">
      <c r="A3" t="s">
        <v>190</v>
      </c>
      <c r="E3" s="9"/>
      <c r="F3" s="9"/>
    </row>
    <row r="4" spans="1:9" x14ac:dyDescent="0.25">
      <c r="A4" t="s">
        <v>78</v>
      </c>
      <c r="B4" t="s">
        <v>98</v>
      </c>
      <c r="C4" s="9">
        <v>8000</v>
      </c>
      <c r="D4" s="9">
        <v>4000</v>
      </c>
      <c r="E4" s="9">
        <v>8000</v>
      </c>
      <c r="F4" s="9">
        <v>8000</v>
      </c>
      <c r="G4" s="9">
        <v>8000</v>
      </c>
      <c r="H4" s="9">
        <v>5500</v>
      </c>
      <c r="I4" s="9">
        <v>5500</v>
      </c>
    </row>
    <row r="5" spans="1:9" x14ac:dyDescent="0.25">
      <c r="A5" t="s">
        <v>479</v>
      </c>
      <c r="C5" s="9"/>
      <c r="D5" s="9"/>
      <c r="E5" s="9"/>
      <c r="F5" s="9"/>
      <c r="G5" s="9"/>
      <c r="H5" s="9"/>
      <c r="I5" s="9"/>
    </row>
    <row r="6" spans="1:9" x14ac:dyDescent="0.25">
      <c r="A6" t="s">
        <v>79</v>
      </c>
      <c r="B6" t="s">
        <v>80</v>
      </c>
      <c r="C6" s="9">
        <v>496</v>
      </c>
      <c r="D6" s="9">
        <v>248</v>
      </c>
      <c r="E6" s="9">
        <v>496</v>
      </c>
      <c r="F6" s="9">
        <v>496</v>
      </c>
      <c r="G6" s="9">
        <f>0.062*G4</f>
        <v>496</v>
      </c>
      <c r="H6" s="9">
        <v>341</v>
      </c>
      <c r="I6" s="9">
        <v>341</v>
      </c>
    </row>
    <row r="7" spans="1:9" x14ac:dyDescent="0.25">
      <c r="A7" t="s">
        <v>81</v>
      </c>
      <c r="B7" t="s">
        <v>82</v>
      </c>
      <c r="C7" s="9">
        <v>116</v>
      </c>
      <c r="D7" s="9">
        <v>58.02</v>
      </c>
      <c r="E7" s="9">
        <v>116</v>
      </c>
      <c r="F7" s="9">
        <v>116.04</v>
      </c>
      <c r="G7" s="9">
        <f>0.0145*G4</f>
        <v>116</v>
      </c>
      <c r="H7" s="9">
        <v>79.760000000000005</v>
      </c>
      <c r="I7" s="9">
        <v>40</v>
      </c>
    </row>
    <row r="8" spans="1:9" x14ac:dyDescent="0.25">
      <c r="A8" t="s">
        <v>42</v>
      </c>
      <c r="C8" s="9"/>
      <c r="D8" s="9"/>
      <c r="E8" s="9"/>
      <c r="F8" s="9"/>
      <c r="G8" s="9"/>
      <c r="H8" s="9"/>
      <c r="I8" s="9"/>
    </row>
    <row r="9" spans="1:9" x14ac:dyDescent="0.25">
      <c r="A9" t="s">
        <v>58</v>
      </c>
      <c r="B9" t="s">
        <v>480</v>
      </c>
      <c r="C9" s="9">
        <v>100</v>
      </c>
      <c r="D9" s="9">
        <v>73</v>
      </c>
      <c r="E9" s="9">
        <v>100</v>
      </c>
      <c r="F9" s="9">
        <v>83</v>
      </c>
      <c r="G9" s="9">
        <v>100</v>
      </c>
      <c r="H9" s="9">
        <v>89.16</v>
      </c>
      <c r="I9" s="9">
        <v>100</v>
      </c>
    </row>
    <row r="10" spans="1:9" x14ac:dyDescent="0.25">
      <c r="A10" s="24" t="s">
        <v>593</v>
      </c>
      <c r="B10" s="10"/>
      <c r="C10" s="18"/>
      <c r="D10" s="18"/>
      <c r="E10" s="18"/>
      <c r="F10" s="18"/>
      <c r="G10" s="18"/>
      <c r="H10" s="18"/>
      <c r="I10" s="18"/>
    </row>
    <row r="11" spans="1:9" x14ac:dyDescent="0.25">
      <c r="A11" s="24" t="s">
        <v>631</v>
      </c>
      <c r="B11" s="24" t="s">
        <v>12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x14ac:dyDescent="0.25">
      <c r="A12" s="24" t="s">
        <v>1004</v>
      </c>
      <c r="B12" s="24" t="s">
        <v>1005</v>
      </c>
      <c r="C12" s="49">
        <v>0</v>
      </c>
      <c r="D12" s="49">
        <v>0</v>
      </c>
      <c r="E12" s="49">
        <v>0</v>
      </c>
      <c r="F12" s="49">
        <v>345.79</v>
      </c>
      <c r="G12" s="49">
        <v>0</v>
      </c>
      <c r="H12" s="49">
        <v>0</v>
      </c>
      <c r="I12" s="49">
        <v>0</v>
      </c>
    </row>
    <row r="13" spans="1:9" x14ac:dyDescent="0.25">
      <c r="A13" s="10" t="s">
        <v>136</v>
      </c>
      <c r="C13" s="9"/>
      <c r="D13" s="9"/>
      <c r="E13" s="9"/>
      <c r="F13" s="9"/>
      <c r="G13" s="9"/>
      <c r="H13" s="9"/>
      <c r="I13" s="9"/>
    </row>
    <row r="14" spans="1:9" x14ac:dyDescent="0.25">
      <c r="A14" s="10" t="s">
        <v>528</v>
      </c>
      <c r="B14" s="10" t="s">
        <v>137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5">
      <c r="A15" t="s">
        <v>126</v>
      </c>
      <c r="C15" s="9"/>
      <c r="D15" s="9"/>
      <c r="E15" s="9"/>
      <c r="F15" s="9"/>
      <c r="G15" s="9"/>
      <c r="H15" s="9"/>
      <c r="I15" s="9"/>
    </row>
    <row r="16" spans="1:9" x14ac:dyDescent="0.25">
      <c r="A16" t="s">
        <v>83</v>
      </c>
      <c r="B16" t="s">
        <v>84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x14ac:dyDescent="0.25">
      <c r="A17" t="s">
        <v>105</v>
      </c>
      <c r="C17" s="9"/>
      <c r="D17" s="9"/>
      <c r="E17" s="9"/>
      <c r="F17" s="9"/>
      <c r="G17" s="9"/>
      <c r="H17" s="9"/>
      <c r="I17" s="9"/>
    </row>
    <row r="18" spans="1:9" x14ac:dyDescent="0.25">
      <c r="A18" t="s">
        <v>85</v>
      </c>
      <c r="B18" t="s">
        <v>91</v>
      </c>
      <c r="C18" s="9">
        <v>50</v>
      </c>
      <c r="D18" s="9">
        <v>30</v>
      </c>
      <c r="E18" s="9">
        <v>50</v>
      </c>
      <c r="F18" s="9">
        <v>30</v>
      </c>
      <c r="G18" s="9">
        <v>50</v>
      </c>
      <c r="H18" s="9">
        <v>30</v>
      </c>
      <c r="I18" s="9">
        <v>50</v>
      </c>
    </row>
    <row r="19" spans="1:9" x14ac:dyDescent="0.25">
      <c r="A19" s="10" t="s">
        <v>508</v>
      </c>
      <c r="B19" t="s">
        <v>814</v>
      </c>
      <c r="C19" s="9">
        <v>1000</v>
      </c>
      <c r="D19" s="9">
        <v>667.2</v>
      </c>
      <c r="E19" s="9">
        <v>1000</v>
      </c>
      <c r="F19" s="9">
        <v>0</v>
      </c>
      <c r="G19" s="9">
        <v>1000</v>
      </c>
      <c r="H19" s="9">
        <v>45</v>
      </c>
      <c r="I19" s="9">
        <v>1000</v>
      </c>
    </row>
    <row r="20" spans="1:9" x14ac:dyDescent="0.25">
      <c r="A20" t="s">
        <v>86</v>
      </c>
      <c r="B20" t="s">
        <v>92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x14ac:dyDescent="0.25">
      <c r="A21" s="10" t="s">
        <v>527</v>
      </c>
      <c r="B21" s="10" t="s">
        <v>568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x14ac:dyDescent="0.25">
      <c r="A22" s="10"/>
      <c r="B22" s="26" t="s">
        <v>710</v>
      </c>
      <c r="C22" s="97">
        <v>2500</v>
      </c>
      <c r="D22" s="97">
        <v>0</v>
      </c>
      <c r="E22" s="97">
        <v>2500</v>
      </c>
      <c r="F22" s="97">
        <v>2500</v>
      </c>
      <c r="G22" s="97">
        <v>2500</v>
      </c>
      <c r="H22" s="97">
        <v>2500</v>
      </c>
      <c r="I22" s="97">
        <v>2500</v>
      </c>
    </row>
    <row r="23" spans="1:9" x14ac:dyDescent="0.25">
      <c r="A23" s="10"/>
      <c r="B23" s="26" t="s">
        <v>747</v>
      </c>
      <c r="C23" s="97">
        <v>1000</v>
      </c>
      <c r="D23" s="97">
        <v>0</v>
      </c>
      <c r="E23" s="97">
        <v>1000</v>
      </c>
      <c r="F23" s="97">
        <v>1000</v>
      </c>
      <c r="G23" s="97">
        <v>1000</v>
      </c>
      <c r="H23" s="97">
        <v>1000</v>
      </c>
      <c r="I23" s="117">
        <v>1000</v>
      </c>
    </row>
    <row r="24" spans="1:9" x14ac:dyDescent="0.25">
      <c r="A24" s="10"/>
      <c r="B24" s="26" t="s">
        <v>711</v>
      </c>
      <c r="C24" s="97">
        <v>1000</v>
      </c>
      <c r="D24" s="97">
        <v>0</v>
      </c>
      <c r="E24" s="97">
        <v>1000</v>
      </c>
      <c r="F24" s="97">
        <v>1000</v>
      </c>
      <c r="G24" s="97">
        <v>1000</v>
      </c>
      <c r="H24" s="97">
        <v>1000</v>
      </c>
      <c r="I24" s="117">
        <v>1000</v>
      </c>
    </row>
    <row r="25" spans="1:9" x14ac:dyDescent="0.25">
      <c r="A25" s="125"/>
      <c r="B25" s="26" t="s">
        <v>712</v>
      </c>
      <c r="C25" s="97">
        <v>900</v>
      </c>
      <c r="D25" s="97">
        <v>0</v>
      </c>
      <c r="E25" s="97">
        <v>900</v>
      </c>
      <c r="F25" s="97">
        <v>900</v>
      </c>
      <c r="G25" s="97">
        <v>900</v>
      </c>
      <c r="H25" s="97">
        <v>900</v>
      </c>
      <c r="I25" s="97">
        <v>900</v>
      </c>
    </row>
    <row r="26" spans="1:9" x14ac:dyDescent="0.25">
      <c r="A26" s="10"/>
      <c r="B26" s="26" t="s">
        <v>873</v>
      </c>
      <c r="C26" s="97">
        <v>1500</v>
      </c>
      <c r="D26" s="97">
        <v>1500</v>
      </c>
      <c r="E26" s="97">
        <v>1500</v>
      </c>
      <c r="F26" s="97">
        <v>1500</v>
      </c>
      <c r="G26" s="97">
        <v>1500</v>
      </c>
      <c r="H26" s="97">
        <v>1500</v>
      </c>
      <c r="I26" s="97">
        <v>1500</v>
      </c>
    </row>
    <row r="27" spans="1:9" x14ac:dyDescent="0.25">
      <c r="A27" s="10"/>
      <c r="B27" s="26" t="s">
        <v>885</v>
      </c>
      <c r="C27" s="97">
        <v>0</v>
      </c>
      <c r="D27" s="154">
        <v>0</v>
      </c>
      <c r="E27" s="97">
        <v>0</v>
      </c>
      <c r="F27" s="97">
        <v>0</v>
      </c>
      <c r="G27" s="97">
        <v>0</v>
      </c>
      <c r="H27" s="97">
        <v>0</v>
      </c>
      <c r="I27" s="117">
        <v>1000</v>
      </c>
    </row>
    <row r="28" spans="1:9" x14ac:dyDescent="0.25">
      <c r="B28" s="21" t="s">
        <v>57</v>
      </c>
      <c r="C28" s="21">
        <f t="shared" ref="C28:H28" si="0">SUM(C4:C27)</f>
        <v>16662</v>
      </c>
      <c r="D28" s="21">
        <f t="shared" si="0"/>
        <v>6576.22</v>
      </c>
      <c r="E28" s="21">
        <f t="shared" si="0"/>
        <v>16662</v>
      </c>
      <c r="F28" s="21">
        <f t="shared" si="0"/>
        <v>15970.830000000002</v>
      </c>
      <c r="G28" s="21">
        <f t="shared" si="0"/>
        <v>16662</v>
      </c>
      <c r="H28" s="21">
        <f t="shared" si="0"/>
        <v>12984.92</v>
      </c>
      <c r="I28" s="21">
        <f t="shared" ref="I28" si="1">SUM(I4:I27)</f>
        <v>14931</v>
      </c>
    </row>
    <row r="29" spans="1:9" x14ac:dyDescent="0.25">
      <c r="A29" s="10"/>
    </row>
    <row r="31" spans="1:9" x14ac:dyDescent="0.25">
      <c r="A31" t="s">
        <v>813</v>
      </c>
    </row>
    <row r="34" spans="1:1" x14ac:dyDescent="0.25">
      <c r="A34" s="25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27"/>
  <sheetViews>
    <sheetView workbookViewId="0">
      <selection activeCell="C9" sqref="C9"/>
    </sheetView>
  </sheetViews>
  <sheetFormatPr defaultRowHeight="13.2" x14ac:dyDescent="0.25"/>
  <cols>
    <col min="1" max="1" width="16.33203125" bestFit="1" customWidth="1"/>
    <col min="2" max="2" width="39.5546875" bestFit="1" customWidth="1"/>
    <col min="3" max="5" width="11.6640625" customWidth="1"/>
  </cols>
  <sheetData>
    <row r="1" spans="1:5" ht="15.6" x14ac:dyDescent="0.3">
      <c r="B1" s="11" t="s">
        <v>1359</v>
      </c>
      <c r="C1" s="1">
        <v>2021</v>
      </c>
      <c r="D1" s="1">
        <v>2020</v>
      </c>
      <c r="E1" s="36">
        <v>2020</v>
      </c>
    </row>
    <row r="2" spans="1:5" x14ac:dyDescent="0.25">
      <c r="B2" s="24"/>
      <c r="C2" s="1" t="s">
        <v>501</v>
      </c>
      <c r="D2" s="1" t="s">
        <v>1179</v>
      </c>
      <c r="E2" s="36" t="s">
        <v>501</v>
      </c>
    </row>
    <row r="4" spans="1:5" x14ac:dyDescent="0.25">
      <c r="A4" t="s">
        <v>485</v>
      </c>
    </row>
    <row r="5" spans="1:5" x14ac:dyDescent="0.25">
      <c r="A5" t="s">
        <v>77</v>
      </c>
    </row>
    <row r="7" spans="1:5" x14ac:dyDescent="0.25">
      <c r="A7" s="24"/>
      <c r="B7" t="s">
        <v>192</v>
      </c>
      <c r="C7" s="9">
        <v>0</v>
      </c>
      <c r="D7" s="9">
        <v>0</v>
      </c>
      <c r="E7" s="9">
        <v>0</v>
      </c>
    </row>
    <row r="8" spans="1:5" x14ac:dyDescent="0.25">
      <c r="A8" s="24"/>
      <c r="B8" t="s">
        <v>193</v>
      </c>
      <c r="C8" s="9">
        <v>8546.66</v>
      </c>
      <c r="D8" s="9">
        <v>0</v>
      </c>
      <c r="E8" s="9">
        <v>0</v>
      </c>
    </row>
    <row r="9" spans="1:5" x14ac:dyDescent="0.25">
      <c r="B9" t="s">
        <v>194</v>
      </c>
      <c r="C9" s="9">
        <v>0</v>
      </c>
      <c r="D9" s="9">
        <v>0</v>
      </c>
      <c r="E9" s="9">
        <v>0</v>
      </c>
    </row>
    <row r="10" spans="1:5" x14ac:dyDescent="0.25">
      <c r="B10" t="s">
        <v>195</v>
      </c>
      <c r="C10" s="9">
        <v>0</v>
      </c>
      <c r="D10" s="9">
        <v>0</v>
      </c>
      <c r="E10" s="9">
        <v>0</v>
      </c>
    </row>
    <row r="11" spans="1:5" x14ac:dyDescent="0.25">
      <c r="C11" s="9"/>
      <c r="D11" s="9"/>
      <c r="E11" s="9"/>
    </row>
    <row r="12" spans="1:5" x14ac:dyDescent="0.25">
      <c r="B12" s="22" t="s">
        <v>57</v>
      </c>
      <c r="C12" s="21">
        <f>SUM(C7:C10)</f>
        <v>8546.66</v>
      </c>
      <c r="D12" s="21">
        <v>0</v>
      </c>
      <c r="E12" s="21">
        <v>0</v>
      </c>
    </row>
    <row r="13" spans="1:5" x14ac:dyDescent="0.25">
      <c r="C13" s="9"/>
      <c r="D13" s="9"/>
      <c r="E13" s="9"/>
    </row>
    <row r="14" spans="1:5" x14ac:dyDescent="0.25">
      <c r="A14" t="s">
        <v>76</v>
      </c>
      <c r="C14" s="9"/>
      <c r="D14" s="9"/>
      <c r="E14" s="9"/>
    </row>
    <row r="15" spans="1:5" x14ac:dyDescent="0.25">
      <c r="B15" s="24" t="s">
        <v>60</v>
      </c>
      <c r="C15" s="9">
        <v>30354</v>
      </c>
      <c r="D15" s="9">
        <v>0</v>
      </c>
      <c r="E15" s="9">
        <v>0</v>
      </c>
    </row>
    <row r="16" spans="1:5" x14ac:dyDescent="0.25">
      <c r="B16" s="24" t="s">
        <v>202</v>
      </c>
      <c r="C16" s="9">
        <v>110385</v>
      </c>
      <c r="D16" s="9">
        <v>0</v>
      </c>
      <c r="E16" s="9">
        <v>0</v>
      </c>
    </row>
    <row r="17" spans="1:5" x14ac:dyDescent="0.25">
      <c r="B17" s="24" t="s">
        <v>723</v>
      </c>
      <c r="C17" s="49">
        <v>7774</v>
      </c>
      <c r="D17" s="49">
        <v>0</v>
      </c>
      <c r="E17" s="49">
        <v>0</v>
      </c>
    </row>
    <row r="18" spans="1:5" x14ac:dyDescent="0.25">
      <c r="B18" s="24" t="s">
        <v>462</v>
      </c>
      <c r="C18" s="49">
        <v>0</v>
      </c>
      <c r="D18" s="49">
        <v>0</v>
      </c>
      <c r="E18" s="49">
        <v>0</v>
      </c>
    </row>
    <row r="19" spans="1:5" x14ac:dyDescent="0.25">
      <c r="B19" s="24" t="s">
        <v>838</v>
      </c>
      <c r="C19" s="49">
        <v>0</v>
      </c>
      <c r="D19" s="49">
        <v>0</v>
      </c>
      <c r="E19" s="49">
        <v>0</v>
      </c>
    </row>
    <row r="20" spans="1:5" x14ac:dyDescent="0.25">
      <c r="B20" s="24" t="s">
        <v>934</v>
      </c>
      <c r="C20" s="49">
        <v>0</v>
      </c>
      <c r="D20" s="49">
        <v>0</v>
      </c>
      <c r="E20" s="49">
        <v>0</v>
      </c>
    </row>
    <row r="21" spans="1:5" x14ac:dyDescent="0.25">
      <c r="B21" s="24" t="s">
        <v>726</v>
      </c>
      <c r="C21" s="49">
        <v>0</v>
      </c>
      <c r="D21" s="49">
        <v>0</v>
      </c>
      <c r="E21" s="49">
        <v>0</v>
      </c>
    </row>
    <row r="22" spans="1:5" x14ac:dyDescent="0.25">
      <c r="B22" s="24" t="s">
        <v>727</v>
      </c>
      <c r="C22" s="49">
        <v>0</v>
      </c>
      <c r="D22" s="49">
        <v>0</v>
      </c>
      <c r="E22" s="49">
        <v>0</v>
      </c>
    </row>
    <row r="23" spans="1:5" x14ac:dyDescent="0.25">
      <c r="C23" s="9"/>
      <c r="D23" s="9"/>
      <c r="E23" s="9"/>
    </row>
    <row r="24" spans="1:5" x14ac:dyDescent="0.25">
      <c r="B24" s="22" t="s">
        <v>57</v>
      </c>
      <c r="C24" s="21">
        <f>SUM(C15:C22)</f>
        <v>148513</v>
      </c>
      <c r="D24" s="21">
        <v>0</v>
      </c>
      <c r="E24" s="21">
        <v>0</v>
      </c>
    </row>
    <row r="27" spans="1:5" x14ac:dyDescent="0.25">
      <c r="A27" t="s">
        <v>1393</v>
      </c>
    </row>
  </sheetData>
  <pageMargins left="0.7" right="0.7" top="0.75" bottom="0.75" header="0.3" footer="0.3"/>
  <pageSetup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35"/>
  <sheetViews>
    <sheetView workbookViewId="0">
      <selection activeCell="D15" sqref="D15"/>
    </sheetView>
  </sheetViews>
  <sheetFormatPr defaultRowHeight="13.2" x14ac:dyDescent="0.25"/>
  <cols>
    <col min="1" max="1" width="16.33203125" bestFit="1" customWidth="1"/>
    <col min="2" max="2" width="34.44140625" bestFit="1" customWidth="1"/>
    <col min="3" max="3" width="11.88671875" customWidth="1"/>
    <col min="4" max="8" width="11.6640625" customWidth="1"/>
  </cols>
  <sheetData>
    <row r="1" spans="1:11" ht="15.6" x14ac:dyDescent="0.3">
      <c r="B1" s="11" t="s">
        <v>725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</row>
    <row r="2" spans="1:11" x14ac:dyDescent="0.25">
      <c r="B2" s="24"/>
      <c r="C2" s="1" t="s">
        <v>501</v>
      </c>
      <c r="D2" s="1" t="s">
        <v>1179</v>
      </c>
      <c r="E2" s="36" t="s">
        <v>501</v>
      </c>
      <c r="F2" s="36" t="s">
        <v>794</v>
      </c>
      <c r="G2" s="36" t="s">
        <v>501</v>
      </c>
      <c r="H2" s="36" t="s">
        <v>794</v>
      </c>
    </row>
    <row r="4" spans="1:11" x14ac:dyDescent="0.25">
      <c r="A4" t="s">
        <v>485</v>
      </c>
    </row>
    <row r="5" spans="1:11" x14ac:dyDescent="0.25">
      <c r="A5" t="s">
        <v>77</v>
      </c>
    </row>
    <row r="7" spans="1:11" x14ac:dyDescent="0.25">
      <c r="A7" s="24"/>
      <c r="B7" t="s">
        <v>192</v>
      </c>
      <c r="C7" s="9">
        <v>30000</v>
      </c>
      <c r="D7" s="9">
        <v>30000</v>
      </c>
      <c r="E7" s="9">
        <v>30000</v>
      </c>
      <c r="F7" s="9">
        <v>30000</v>
      </c>
      <c r="G7" s="9">
        <v>30000</v>
      </c>
      <c r="H7" s="9">
        <v>30000</v>
      </c>
    </row>
    <row r="8" spans="1:11" x14ac:dyDescent="0.25">
      <c r="A8" s="24"/>
      <c r="B8" t="s">
        <v>193</v>
      </c>
      <c r="C8" s="9">
        <v>8865</v>
      </c>
      <c r="D8" s="9">
        <v>18015</v>
      </c>
      <c r="E8" s="9">
        <f>9150+8865</f>
        <v>18015</v>
      </c>
      <c r="F8" s="9">
        <v>18578</v>
      </c>
      <c r="G8" s="9">
        <v>18577.5</v>
      </c>
      <c r="H8" s="9">
        <v>19524.32</v>
      </c>
    </row>
    <row r="9" spans="1:11" x14ac:dyDescent="0.25">
      <c r="B9" t="s">
        <v>194</v>
      </c>
      <c r="C9" s="9">
        <v>0</v>
      </c>
      <c r="D9" s="9">
        <v>495</v>
      </c>
      <c r="E9" s="9">
        <v>495</v>
      </c>
      <c r="F9" s="9">
        <v>495</v>
      </c>
      <c r="G9" s="9">
        <v>495</v>
      </c>
      <c r="H9" s="9">
        <v>495</v>
      </c>
    </row>
    <row r="10" spans="1:11" x14ac:dyDescent="0.25">
      <c r="B10" t="s">
        <v>195</v>
      </c>
      <c r="C10" s="9">
        <v>0</v>
      </c>
      <c r="D10" s="9">
        <v>0</v>
      </c>
      <c r="E10" s="9">
        <v>0</v>
      </c>
      <c r="F10" s="9">
        <v>0</v>
      </c>
      <c r="G10" s="9"/>
      <c r="H10" s="9">
        <v>0</v>
      </c>
    </row>
    <row r="11" spans="1:11" x14ac:dyDescent="0.25">
      <c r="C11" s="9"/>
      <c r="D11" s="9"/>
      <c r="E11" s="9"/>
      <c r="F11" s="9"/>
      <c r="G11" s="9"/>
      <c r="H11" s="9"/>
    </row>
    <row r="12" spans="1:11" x14ac:dyDescent="0.25">
      <c r="B12" s="22" t="s">
        <v>57</v>
      </c>
      <c r="C12" s="21">
        <f>SUM(C6:C10)</f>
        <v>38865</v>
      </c>
      <c r="D12" s="21">
        <f>SUM(D7:D10)</f>
        <v>48510</v>
      </c>
      <c r="E12" s="21">
        <f>SUM(E7:E10)</f>
        <v>48510</v>
      </c>
      <c r="F12" s="21">
        <f>SUM(F7:F10)</f>
        <v>49073</v>
      </c>
      <c r="G12" s="21">
        <f>SUM(G7:G10)</f>
        <v>49072.5</v>
      </c>
      <c r="H12" s="21">
        <f>SUM(H7:H11)</f>
        <v>50019.32</v>
      </c>
    </row>
    <row r="13" spans="1:11" x14ac:dyDescent="0.25">
      <c r="C13" s="9"/>
      <c r="D13" s="9"/>
      <c r="E13" s="9"/>
      <c r="F13" s="9"/>
      <c r="H13" s="9"/>
      <c r="K13" s="25"/>
    </row>
    <row r="14" spans="1:11" x14ac:dyDescent="0.25">
      <c r="A14" t="s">
        <v>76</v>
      </c>
      <c r="C14" s="9"/>
      <c r="D14" s="9"/>
      <c r="E14" s="9"/>
      <c r="F14" s="9"/>
      <c r="H14" s="9"/>
      <c r="K14" s="25"/>
    </row>
    <row r="15" spans="1:11" x14ac:dyDescent="0.25">
      <c r="B15" t="s">
        <v>196</v>
      </c>
      <c r="C15" s="9">
        <v>0</v>
      </c>
      <c r="D15" s="9">
        <v>13052.87</v>
      </c>
      <c r="E15" s="9">
        <v>24750</v>
      </c>
      <c r="F15" s="9">
        <v>25179.279999999999</v>
      </c>
      <c r="G15" s="9">
        <v>24750</v>
      </c>
      <c r="H15" s="9">
        <v>14226.52</v>
      </c>
    </row>
    <row r="16" spans="1:11" x14ac:dyDescent="0.25">
      <c r="B16" s="24" t="s">
        <v>1384</v>
      </c>
      <c r="C16" s="9">
        <v>0</v>
      </c>
      <c r="D16" s="9"/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B17" s="24" t="s">
        <v>723</v>
      </c>
      <c r="C17" s="49">
        <v>0</v>
      </c>
      <c r="D17" s="49">
        <v>3443.5</v>
      </c>
      <c r="E17" s="49">
        <v>7300</v>
      </c>
      <c r="F17" s="49">
        <v>6419.54</v>
      </c>
      <c r="G17" s="49">
        <v>7300</v>
      </c>
      <c r="H17" s="49">
        <v>6765.86</v>
      </c>
    </row>
    <row r="18" spans="1:8" x14ac:dyDescent="0.25">
      <c r="B18" s="24" t="s">
        <v>462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1:8" x14ac:dyDescent="0.25">
      <c r="B19" s="24" t="s">
        <v>838</v>
      </c>
      <c r="C19" s="49">
        <v>0</v>
      </c>
      <c r="D19" s="49">
        <v>859</v>
      </c>
      <c r="E19" s="49">
        <v>1500</v>
      </c>
      <c r="F19" s="49">
        <v>1929.01</v>
      </c>
      <c r="G19" s="49">
        <v>500</v>
      </c>
      <c r="H19" s="49">
        <v>532.97</v>
      </c>
    </row>
    <row r="20" spans="1:8" x14ac:dyDescent="0.25">
      <c r="B20" s="24" t="s">
        <v>934</v>
      </c>
      <c r="C20" s="49">
        <v>0</v>
      </c>
      <c r="D20" s="49">
        <v>0</v>
      </c>
      <c r="E20" s="49">
        <v>14960</v>
      </c>
      <c r="F20" s="49">
        <v>0</v>
      </c>
      <c r="G20" s="49">
        <v>16523</v>
      </c>
      <c r="H20" s="49">
        <v>0</v>
      </c>
    </row>
    <row r="21" spans="1:8" x14ac:dyDescent="0.25">
      <c r="B21" s="24" t="s">
        <v>726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</row>
    <row r="22" spans="1:8" x14ac:dyDescent="0.25">
      <c r="B22" s="24" t="s">
        <v>727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</row>
    <row r="23" spans="1:8" x14ac:dyDescent="0.25">
      <c r="C23" s="9"/>
      <c r="D23" s="9"/>
      <c r="E23" s="9"/>
      <c r="F23" s="9"/>
      <c r="G23" s="9"/>
      <c r="H23" s="9"/>
    </row>
    <row r="24" spans="1:8" x14ac:dyDescent="0.25">
      <c r="B24" s="22" t="s">
        <v>57</v>
      </c>
      <c r="C24" s="21">
        <v>0</v>
      </c>
      <c r="D24" s="21">
        <f>SUM(D15:D22)</f>
        <v>17355.370000000003</v>
      </c>
      <c r="E24" s="21">
        <f>SUM(E15:E22)</f>
        <v>48510</v>
      </c>
      <c r="F24" s="21">
        <f>SUM(F15:F22)</f>
        <v>33527.83</v>
      </c>
      <c r="G24" s="21">
        <f>SUM(G15:G22)</f>
        <v>49073</v>
      </c>
      <c r="H24" s="21">
        <f>SUM(H15:H23)</f>
        <v>21525.350000000002</v>
      </c>
    </row>
    <row r="27" spans="1:8" x14ac:dyDescent="0.25">
      <c r="A27" s="24" t="s">
        <v>731</v>
      </c>
    </row>
    <row r="28" spans="1:8" x14ac:dyDescent="0.25">
      <c r="A28" s="24" t="s">
        <v>728</v>
      </c>
    </row>
    <row r="29" spans="1:8" x14ac:dyDescent="0.25">
      <c r="A29" s="24" t="s">
        <v>729</v>
      </c>
    </row>
    <row r="30" spans="1:8" x14ac:dyDescent="0.25">
      <c r="A30" s="24" t="s">
        <v>730</v>
      </c>
    </row>
    <row r="32" spans="1:8" x14ac:dyDescent="0.25">
      <c r="A32" s="24" t="s">
        <v>935</v>
      </c>
    </row>
    <row r="33" spans="1:1" x14ac:dyDescent="0.25">
      <c r="A33" s="24" t="s">
        <v>1133</v>
      </c>
    </row>
    <row r="35" spans="1:1" x14ac:dyDescent="0.25">
      <c r="A35" s="24" t="s">
        <v>1360</v>
      </c>
    </row>
  </sheetData>
  <pageMargins left="0.7" right="0.7" top="0.75" bottom="0.75" header="0.3" footer="0.3"/>
  <pageSetup orientation="landscape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48"/>
  <sheetViews>
    <sheetView topLeftCell="A16" workbookViewId="0">
      <selection activeCell="D24" sqref="D24"/>
    </sheetView>
  </sheetViews>
  <sheetFormatPr defaultRowHeight="13.2" x14ac:dyDescent="0.25"/>
  <cols>
    <col min="1" max="1" width="26.44140625" customWidth="1"/>
    <col min="2" max="2" width="32" customWidth="1"/>
    <col min="3" max="3" width="3.109375" customWidth="1"/>
    <col min="4" max="8" width="11.6640625" customWidth="1"/>
  </cols>
  <sheetData>
    <row r="1" spans="1:8" ht="15.6" x14ac:dyDescent="0.3">
      <c r="B1" s="11" t="s">
        <v>890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</row>
    <row r="2" spans="1:8" ht="15.6" x14ac:dyDescent="0.3">
      <c r="B2" s="11"/>
      <c r="D2" s="1" t="s">
        <v>1295</v>
      </c>
      <c r="E2" s="1" t="s">
        <v>1179</v>
      </c>
      <c r="F2" s="36" t="s">
        <v>501</v>
      </c>
      <c r="G2" s="36" t="s">
        <v>794</v>
      </c>
      <c r="H2" s="36" t="s">
        <v>501</v>
      </c>
    </row>
    <row r="3" spans="1:8" x14ac:dyDescent="0.25">
      <c r="A3" t="s">
        <v>76</v>
      </c>
    </row>
    <row r="4" spans="1:8" x14ac:dyDescent="0.25">
      <c r="A4" t="s">
        <v>1086</v>
      </c>
      <c r="B4" t="s">
        <v>661</v>
      </c>
      <c r="D4" s="9">
        <v>2000</v>
      </c>
      <c r="E4" s="9">
        <v>0</v>
      </c>
      <c r="F4" s="9">
        <v>2500</v>
      </c>
      <c r="G4" s="9">
        <v>0</v>
      </c>
      <c r="H4" s="9">
        <v>0</v>
      </c>
    </row>
    <row r="5" spans="1:8" x14ac:dyDescent="0.25">
      <c r="A5" t="s">
        <v>891</v>
      </c>
      <c r="B5" t="s">
        <v>680</v>
      </c>
      <c r="D5" s="9">
        <v>50</v>
      </c>
      <c r="E5" s="9">
        <v>29.19</v>
      </c>
      <c r="F5" s="9">
        <v>100</v>
      </c>
      <c r="G5" s="9">
        <v>76.760000000000005</v>
      </c>
      <c r="H5" s="9">
        <v>100</v>
      </c>
    </row>
    <row r="6" spans="1:8" x14ac:dyDescent="0.25">
      <c r="A6" s="24" t="s">
        <v>892</v>
      </c>
      <c r="B6" s="24" t="s">
        <v>38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x14ac:dyDescent="0.25">
      <c r="A7" s="24" t="s">
        <v>918</v>
      </c>
      <c r="B7" s="24" t="s">
        <v>919</v>
      </c>
      <c r="D7" s="9">
        <v>8000</v>
      </c>
      <c r="E7" s="9">
        <v>0</v>
      </c>
      <c r="F7" s="9">
        <v>8500</v>
      </c>
      <c r="G7" s="9"/>
      <c r="H7" s="9">
        <v>15000</v>
      </c>
    </row>
    <row r="8" spans="1:8" x14ac:dyDescent="0.25">
      <c r="A8" s="24" t="s">
        <v>920</v>
      </c>
      <c r="B8" s="24" t="s">
        <v>1294</v>
      </c>
      <c r="D8" s="9">
        <v>0</v>
      </c>
      <c r="E8" s="9">
        <v>2500</v>
      </c>
      <c r="F8" s="9">
        <v>0</v>
      </c>
      <c r="G8" s="9">
        <v>8600</v>
      </c>
      <c r="H8" s="9">
        <v>0</v>
      </c>
    </row>
    <row r="9" spans="1:8" x14ac:dyDescent="0.25">
      <c r="A9" s="24" t="s">
        <v>1087</v>
      </c>
      <c r="B9" s="24" t="s">
        <v>781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x14ac:dyDescent="0.25">
      <c r="A10" s="24" t="s">
        <v>893</v>
      </c>
      <c r="B10" s="24" t="s">
        <v>894</v>
      </c>
      <c r="D10" s="9">
        <v>75000</v>
      </c>
      <c r="E10" s="9">
        <v>75000</v>
      </c>
      <c r="F10" s="9">
        <v>75000</v>
      </c>
      <c r="G10" s="9">
        <v>58500</v>
      </c>
      <c r="H10" s="9">
        <v>58500</v>
      </c>
    </row>
    <row r="11" spans="1:8" x14ac:dyDescent="0.25">
      <c r="D11" s="9"/>
      <c r="E11" s="9"/>
      <c r="F11" s="9"/>
      <c r="G11" s="9"/>
      <c r="H11" s="9"/>
    </row>
    <row r="12" spans="1:8" x14ac:dyDescent="0.25">
      <c r="B12" s="22" t="s">
        <v>57</v>
      </c>
      <c r="D12" s="9">
        <f>SUM(D4:D11)</f>
        <v>85050</v>
      </c>
      <c r="E12" s="9">
        <f>SUM(E4:E10)</f>
        <v>77529.19</v>
      </c>
      <c r="F12" s="9">
        <f>SUM(F4:F10)</f>
        <v>86100</v>
      </c>
      <c r="G12" s="9">
        <f>SUM(G4:G10)</f>
        <v>67176.759999999995</v>
      </c>
      <c r="H12" s="9">
        <f>SUM(H4:H10)</f>
        <v>73600</v>
      </c>
    </row>
    <row r="13" spans="1:8" x14ac:dyDescent="0.25">
      <c r="A13" t="s">
        <v>77</v>
      </c>
      <c r="D13" s="9"/>
      <c r="E13" s="9"/>
      <c r="F13" s="9"/>
      <c r="G13" s="9"/>
      <c r="H13" s="9"/>
    </row>
    <row r="14" spans="1:8" x14ac:dyDescent="0.25">
      <c r="A14" t="s">
        <v>190</v>
      </c>
      <c r="D14" s="9"/>
      <c r="E14" s="9"/>
      <c r="F14" s="9"/>
      <c r="G14" s="9"/>
      <c r="H14" s="9"/>
    </row>
    <row r="15" spans="1:8" x14ac:dyDescent="0.25">
      <c r="A15" t="s">
        <v>1012</v>
      </c>
      <c r="B15" t="s">
        <v>1013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x14ac:dyDescent="0.25">
      <c r="A16" t="s">
        <v>1014</v>
      </c>
      <c r="B16" t="s">
        <v>188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t="s">
        <v>1015</v>
      </c>
      <c r="B17" t="s">
        <v>80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x14ac:dyDescent="0.25">
      <c r="A18" t="s">
        <v>1016</v>
      </c>
      <c r="B18" t="s">
        <v>82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x14ac:dyDescent="0.25">
      <c r="A19" t="s">
        <v>23</v>
      </c>
      <c r="D19" s="9"/>
      <c r="E19" s="9"/>
      <c r="F19" s="9"/>
      <c r="G19" s="9"/>
      <c r="H19" s="9"/>
    </row>
    <row r="20" spans="1:8" x14ac:dyDescent="0.25">
      <c r="A20" t="s">
        <v>909</v>
      </c>
      <c r="B20" t="s">
        <v>139</v>
      </c>
      <c r="D20" s="9">
        <v>0</v>
      </c>
      <c r="E20" s="9">
        <v>0</v>
      </c>
      <c r="F20" s="9">
        <v>75</v>
      </c>
      <c r="G20" s="9">
        <v>2.39</v>
      </c>
      <c r="H20" s="9">
        <v>75</v>
      </c>
    </row>
    <row r="21" spans="1:8" x14ac:dyDescent="0.25">
      <c r="A21" t="s">
        <v>1017</v>
      </c>
      <c r="B21" t="s">
        <v>1018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t="s">
        <v>6</v>
      </c>
      <c r="D22" s="9"/>
      <c r="E22" s="9"/>
      <c r="F22" s="9"/>
      <c r="G22" s="9"/>
      <c r="H22" s="9"/>
    </row>
    <row r="23" spans="1:8" x14ac:dyDescent="0.25">
      <c r="A23" t="s">
        <v>921</v>
      </c>
      <c r="B23" t="s">
        <v>12</v>
      </c>
      <c r="D23" s="9">
        <v>1000</v>
      </c>
      <c r="E23" s="9">
        <v>211</v>
      </c>
      <c r="F23" s="9">
        <v>1500</v>
      </c>
      <c r="G23" s="9">
        <v>499.5</v>
      </c>
      <c r="H23" s="9">
        <v>1500</v>
      </c>
    </row>
    <row r="24" spans="1:8" x14ac:dyDescent="0.25">
      <c r="A24" t="s">
        <v>910</v>
      </c>
      <c r="B24" s="24" t="s">
        <v>92</v>
      </c>
      <c r="D24" s="9">
        <v>71465</v>
      </c>
      <c r="E24" s="9">
        <v>67248</v>
      </c>
      <c r="F24" s="9">
        <v>68000</v>
      </c>
      <c r="G24" s="9">
        <v>75480.160000000003</v>
      </c>
      <c r="H24" s="9">
        <v>65000</v>
      </c>
    </row>
    <row r="25" spans="1:8" x14ac:dyDescent="0.25">
      <c r="A25" t="s">
        <v>922</v>
      </c>
      <c r="B25" s="24" t="s">
        <v>88</v>
      </c>
      <c r="D25" s="9">
        <v>100</v>
      </c>
      <c r="E25" s="9">
        <v>0</v>
      </c>
      <c r="F25" s="9">
        <v>100</v>
      </c>
      <c r="G25" s="9">
        <v>0</v>
      </c>
      <c r="H25" s="9">
        <v>100</v>
      </c>
    </row>
    <row r="26" spans="1:8" x14ac:dyDescent="0.25">
      <c r="A26" t="s">
        <v>133</v>
      </c>
      <c r="B26" s="24"/>
      <c r="D26" s="9"/>
      <c r="E26" s="9"/>
      <c r="F26" s="9"/>
      <c r="G26" s="9"/>
      <c r="H26" s="9"/>
    </row>
    <row r="27" spans="1:8" x14ac:dyDescent="0.25">
      <c r="A27" t="s">
        <v>1088</v>
      </c>
      <c r="B27" s="24" t="s">
        <v>1089</v>
      </c>
      <c r="D27" s="9">
        <v>200</v>
      </c>
      <c r="E27" s="9">
        <v>291.5</v>
      </c>
      <c r="F27" s="9">
        <v>100</v>
      </c>
      <c r="G27" s="9">
        <v>74.7</v>
      </c>
      <c r="H27" s="9">
        <v>100</v>
      </c>
    </row>
    <row r="28" spans="1:8" x14ac:dyDescent="0.25">
      <c r="A28" t="s">
        <v>126</v>
      </c>
      <c r="D28" s="9"/>
      <c r="E28" s="9"/>
      <c r="F28" s="9"/>
      <c r="G28" s="9"/>
      <c r="H28" s="9"/>
    </row>
    <row r="29" spans="1:8" x14ac:dyDescent="0.25">
      <c r="A29" t="s">
        <v>911</v>
      </c>
      <c r="B29" t="s">
        <v>128</v>
      </c>
      <c r="D29" s="9">
        <v>800</v>
      </c>
      <c r="E29" s="9">
        <v>0</v>
      </c>
      <c r="F29" s="9">
        <v>800</v>
      </c>
      <c r="G29" s="9">
        <v>119</v>
      </c>
      <c r="H29" s="9">
        <v>800</v>
      </c>
    </row>
    <row r="30" spans="1:8" x14ac:dyDescent="0.25">
      <c r="A30" t="s">
        <v>903</v>
      </c>
      <c r="D30" s="9"/>
      <c r="E30" s="9"/>
      <c r="F30" s="9"/>
      <c r="G30" s="9"/>
      <c r="H30" s="9"/>
    </row>
    <row r="31" spans="1:8" x14ac:dyDescent="0.25">
      <c r="A31" t="s">
        <v>936</v>
      </c>
      <c r="B31" t="s">
        <v>937</v>
      </c>
      <c r="D31" s="9">
        <v>3500</v>
      </c>
      <c r="E31" s="9">
        <v>3332</v>
      </c>
      <c r="F31" s="9">
        <v>3500</v>
      </c>
      <c r="G31" s="9">
        <v>3180</v>
      </c>
      <c r="H31" s="9">
        <v>3500</v>
      </c>
    </row>
    <row r="32" spans="1:8" x14ac:dyDescent="0.25">
      <c r="A32" t="s">
        <v>119</v>
      </c>
      <c r="D32" s="9"/>
      <c r="E32" s="9"/>
      <c r="F32" s="9"/>
      <c r="G32" s="9"/>
      <c r="H32" s="9"/>
    </row>
    <row r="33" spans="1:11" x14ac:dyDescent="0.25">
      <c r="A33" t="s">
        <v>912</v>
      </c>
      <c r="B33" t="s">
        <v>120</v>
      </c>
      <c r="D33" s="9">
        <v>0</v>
      </c>
      <c r="E33" s="9">
        <v>48.89</v>
      </c>
      <c r="F33" s="9">
        <v>0</v>
      </c>
      <c r="G33" s="9">
        <v>0</v>
      </c>
      <c r="H33" s="9">
        <v>0</v>
      </c>
    </row>
    <row r="34" spans="1:11" x14ac:dyDescent="0.25">
      <c r="A34" t="s">
        <v>913</v>
      </c>
      <c r="B34" t="s">
        <v>121</v>
      </c>
      <c r="D34" s="9">
        <v>0</v>
      </c>
      <c r="E34" s="9">
        <v>7</v>
      </c>
      <c r="F34" s="9">
        <v>0</v>
      </c>
      <c r="G34" s="9">
        <v>0</v>
      </c>
      <c r="H34" s="9">
        <v>0</v>
      </c>
    </row>
    <row r="35" spans="1:11" x14ac:dyDescent="0.25">
      <c r="A35" t="s">
        <v>914</v>
      </c>
      <c r="B35" t="s">
        <v>122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11" x14ac:dyDescent="0.25">
      <c r="A36" t="s">
        <v>915</v>
      </c>
      <c r="B36" t="s">
        <v>124</v>
      </c>
      <c r="D36" s="9">
        <v>0</v>
      </c>
      <c r="E36" s="9">
        <v>8</v>
      </c>
      <c r="F36" s="9">
        <v>0</v>
      </c>
      <c r="G36" s="9">
        <v>0</v>
      </c>
      <c r="H36" s="9">
        <v>0</v>
      </c>
    </row>
    <row r="37" spans="1:11" x14ac:dyDescent="0.25">
      <c r="A37" t="s">
        <v>839</v>
      </c>
      <c r="D37" s="9"/>
      <c r="E37" s="9"/>
      <c r="F37" s="9"/>
      <c r="G37" s="9"/>
      <c r="H37" s="9"/>
    </row>
    <row r="38" spans="1:11" ht="12" customHeight="1" x14ac:dyDescent="0.25">
      <c r="A38" t="s">
        <v>916</v>
      </c>
      <c r="B38" t="s">
        <v>699</v>
      </c>
      <c r="D38" s="9">
        <v>750</v>
      </c>
      <c r="E38" s="9">
        <v>7055.94</v>
      </c>
      <c r="F38" s="9">
        <v>11400</v>
      </c>
      <c r="G38" s="9">
        <v>3129.04</v>
      </c>
      <c r="H38" s="9">
        <v>1000</v>
      </c>
    </row>
    <row r="39" spans="1:11" ht="12" customHeight="1" x14ac:dyDescent="0.25">
      <c r="A39" t="s">
        <v>925</v>
      </c>
      <c r="D39" s="9"/>
      <c r="E39" s="9"/>
      <c r="F39" s="9"/>
      <c r="G39" s="9"/>
      <c r="H39" s="9"/>
    </row>
    <row r="40" spans="1:11" ht="12" customHeight="1" x14ac:dyDescent="0.25">
      <c r="A40" t="s">
        <v>926</v>
      </c>
      <c r="B40" t="s">
        <v>115</v>
      </c>
      <c r="D40" s="9">
        <v>500</v>
      </c>
      <c r="E40" s="9">
        <v>0</v>
      </c>
      <c r="F40" s="9">
        <v>0</v>
      </c>
      <c r="G40" s="9">
        <v>0</v>
      </c>
      <c r="H40" s="9">
        <v>0</v>
      </c>
    </row>
    <row r="41" spans="1:11" x14ac:dyDescent="0.25">
      <c r="A41" t="s">
        <v>105</v>
      </c>
      <c r="D41" s="9"/>
      <c r="E41" s="9"/>
      <c r="F41" s="9"/>
      <c r="G41" s="9"/>
      <c r="H41" s="9"/>
    </row>
    <row r="42" spans="1:11" x14ac:dyDescent="0.25">
      <c r="A42" t="s">
        <v>923</v>
      </c>
      <c r="B42" t="s">
        <v>924</v>
      </c>
      <c r="D42" s="9">
        <v>300</v>
      </c>
      <c r="E42" s="9">
        <v>300</v>
      </c>
      <c r="F42" s="9">
        <v>250</v>
      </c>
      <c r="G42" s="9">
        <v>250</v>
      </c>
      <c r="H42" s="9">
        <v>250</v>
      </c>
    </row>
    <row r="43" spans="1:11" x14ac:dyDescent="0.25">
      <c r="A43" t="s">
        <v>917</v>
      </c>
      <c r="B43" t="s">
        <v>106</v>
      </c>
      <c r="D43" s="9">
        <v>300</v>
      </c>
      <c r="E43" s="9">
        <v>0</v>
      </c>
      <c r="F43" s="9">
        <v>300</v>
      </c>
      <c r="G43" s="9">
        <v>20</v>
      </c>
      <c r="H43" s="9">
        <v>300</v>
      </c>
    </row>
    <row r="44" spans="1:11" x14ac:dyDescent="0.25">
      <c r="D44" s="9"/>
      <c r="E44" s="9"/>
      <c r="F44" s="9"/>
      <c r="G44" s="9"/>
      <c r="H44" s="9"/>
    </row>
    <row r="45" spans="1:11" x14ac:dyDescent="0.25">
      <c r="B45" s="22" t="s">
        <v>57</v>
      </c>
      <c r="D45" s="9">
        <f t="shared" ref="D45:H45" si="0">SUM(D15:D43)</f>
        <v>78915</v>
      </c>
      <c r="E45" s="9">
        <f t="shared" si="0"/>
        <v>78502.33</v>
      </c>
      <c r="F45" s="9">
        <f t="shared" si="0"/>
        <v>86025</v>
      </c>
      <c r="G45" s="9">
        <f t="shared" si="0"/>
        <v>82754.789999999994</v>
      </c>
      <c r="H45" s="9">
        <f t="shared" si="0"/>
        <v>72625</v>
      </c>
    </row>
    <row r="46" spans="1:11" x14ac:dyDescent="0.25">
      <c r="A46" s="10"/>
    </row>
    <row r="47" spans="1:11" x14ac:dyDescent="0.25">
      <c r="A47" s="24" t="s">
        <v>1386</v>
      </c>
      <c r="B47" s="153">
        <v>10895.9</v>
      </c>
    </row>
    <row r="48" spans="1:11" x14ac:dyDescent="0.25">
      <c r="A48" s="24"/>
      <c r="B48" s="108"/>
      <c r="K48" s="19"/>
    </row>
  </sheetData>
  <pageMargins left="0.7" right="0.7" top="0.75" bottom="0.75" header="0.3" footer="0.3"/>
  <pageSetup orientation="landscape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L65"/>
  <sheetViews>
    <sheetView workbookViewId="0">
      <selection activeCell="D24" sqref="D24"/>
    </sheetView>
  </sheetViews>
  <sheetFormatPr defaultRowHeight="13.2" x14ac:dyDescent="0.25"/>
  <cols>
    <col min="1" max="1" width="29.6640625" bestFit="1" customWidth="1"/>
    <col min="2" max="2" width="35.33203125" bestFit="1" customWidth="1"/>
    <col min="3" max="3" width="1.33203125" customWidth="1"/>
    <col min="4" max="8" width="11.6640625" customWidth="1"/>
  </cols>
  <sheetData>
    <row r="1" spans="1:12" ht="15.6" x14ac:dyDescent="0.3">
      <c r="B1" s="11" t="s">
        <v>895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/>
      <c r="J1" s="36"/>
      <c r="K1" s="36"/>
      <c r="L1" s="36"/>
    </row>
    <row r="2" spans="1:12" ht="15.6" x14ac:dyDescent="0.3">
      <c r="B2" s="11"/>
      <c r="D2" s="1" t="s">
        <v>1295</v>
      </c>
      <c r="E2" s="1" t="s">
        <v>1179</v>
      </c>
      <c r="F2" s="36" t="s">
        <v>501</v>
      </c>
      <c r="G2" s="36" t="s">
        <v>794</v>
      </c>
      <c r="H2" s="36" t="s">
        <v>501</v>
      </c>
      <c r="I2" s="36"/>
      <c r="J2" s="36"/>
      <c r="K2" s="36"/>
      <c r="L2" s="36"/>
    </row>
    <row r="3" spans="1:12" x14ac:dyDescent="0.25">
      <c r="A3" t="s">
        <v>76</v>
      </c>
    </row>
    <row r="4" spans="1:12" x14ac:dyDescent="0.25">
      <c r="A4" s="24" t="s">
        <v>896</v>
      </c>
      <c r="B4" t="s">
        <v>680</v>
      </c>
      <c r="D4" s="9">
        <v>2000</v>
      </c>
      <c r="E4" s="9">
        <v>3252.18</v>
      </c>
      <c r="F4" s="9">
        <v>2934</v>
      </c>
      <c r="G4" s="9">
        <v>2496.962</v>
      </c>
      <c r="H4" s="9">
        <v>657</v>
      </c>
      <c r="I4" s="9"/>
      <c r="J4" s="9"/>
      <c r="K4" s="33"/>
      <c r="L4" s="33"/>
    </row>
    <row r="5" spans="1:12" x14ac:dyDescent="0.25">
      <c r="A5" s="24" t="s">
        <v>897</v>
      </c>
      <c r="B5" s="24" t="s">
        <v>898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/>
      <c r="J5" s="9"/>
      <c r="K5" s="34"/>
      <c r="L5" s="34"/>
    </row>
    <row r="6" spans="1:12" x14ac:dyDescent="0.25">
      <c r="A6" s="24" t="s">
        <v>993</v>
      </c>
      <c r="B6" s="24" t="s">
        <v>994</v>
      </c>
      <c r="D6" s="9">
        <v>12000</v>
      </c>
      <c r="E6" s="9">
        <v>8812.61</v>
      </c>
      <c r="F6" s="9">
        <v>11558</v>
      </c>
      <c r="G6" s="9">
        <v>12059.35</v>
      </c>
      <c r="H6" s="9">
        <v>7776</v>
      </c>
      <c r="I6" s="9"/>
      <c r="J6" s="50"/>
      <c r="K6" s="42"/>
      <c r="L6" s="42"/>
    </row>
    <row r="7" spans="1:12" x14ac:dyDescent="0.25">
      <c r="A7" s="24" t="s">
        <v>1388</v>
      </c>
      <c r="B7" s="24" t="s">
        <v>1389</v>
      </c>
      <c r="D7" s="9">
        <v>0</v>
      </c>
      <c r="E7" s="9">
        <v>30000</v>
      </c>
      <c r="F7" s="9">
        <v>0</v>
      </c>
      <c r="G7" s="9">
        <v>0</v>
      </c>
      <c r="H7" s="9">
        <v>0</v>
      </c>
      <c r="I7" s="9"/>
      <c r="J7" s="50"/>
      <c r="K7" s="42"/>
      <c r="L7" s="42"/>
    </row>
    <row r="8" spans="1:12" x14ac:dyDescent="0.25">
      <c r="D8" s="9"/>
      <c r="E8" s="9"/>
      <c r="F8" s="9"/>
      <c r="G8" s="9"/>
      <c r="H8" s="9"/>
      <c r="I8" s="9"/>
      <c r="J8" s="9"/>
      <c r="K8" s="34"/>
      <c r="L8" s="34"/>
    </row>
    <row r="9" spans="1:12" x14ac:dyDescent="0.25">
      <c r="B9" s="22" t="s">
        <v>57</v>
      </c>
      <c r="D9" s="9">
        <f>SUM(D4:D7)</f>
        <v>14000</v>
      </c>
      <c r="E9" s="9">
        <f>SUM(E4:E8)</f>
        <v>42064.79</v>
      </c>
      <c r="F9" s="9">
        <f>SUM(F4:F7)</f>
        <v>14492</v>
      </c>
      <c r="G9" s="9">
        <f>SUM(G4:G7)</f>
        <v>14556.312</v>
      </c>
      <c r="H9" s="9">
        <f>SUM(H4:H7)</f>
        <v>8433</v>
      </c>
      <c r="I9" s="9"/>
      <c r="J9" s="9"/>
      <c r="K9" s="33"/>
      <c r="L9" s="33"/>
    </row>
    <row r="10" spans="1:12" x14ac:dyDescent="0.25">
      <c r="B10" s="22"/>
      <c r="D10" s="9"/>
      <c r="E10" s="9"/>
      <c r="F10" s="9"/>
      <c r="G10" s="9"/>
      <c r="H10" s="9"/>
      <c r="I10" s="9"/>
      <c r="J10" s="9"/>
      <c r="K10" s="33"/>
      <c r="L10" s="33"/>
    </row>
    <row r="11" spans="1:12" x14ac:dyDescent="0.25">
      <c r="A11" t="s">
        <v>570</v>
      </c>
      <c r="B11" s="22"/>
      <c r="D11" s="9"/>
      <c r="E11" s="9"/>
      <c r="F11" s="9"/>
      <c r="G11" s="9"/>
      <c r="H11" s="9"/>
      <c r="I11" s="9"/>
      <c r="J11" s="9"/>
      <c r="K11" s="33"/>
      <c r="L11" s="33"/>
    </row>
    <row r="12" spans="1:12" x14ac:dyDescent="0.25">
      <c r="A12" t="s">
        <v>993</v>
      </c>
      <c r="B12" s="81" t="s">
        <v>1190</v>
      </c>
      <c r="D12" s="9">
        <v>0</v>
      </c>
      <c r="E12" s="9">
        <v>0</v>
      </c>
      <c r="F12" s="9">
        <v>0</v>
      </c>
      <c r="G12" s="9">
        <v>113927.82</v>
      </c>
      <c r="H12" s="9">
        <v>0</v>
      </c>
      <c r="I12" s="9"/>
      <c r="J12" s="9"/>
      <c r="K12" s="33"/>
      <c r="L12" s="33"/>
    </row>
    <row r="13" spans="1:12" x14ac:dyDescent="0.25">
      <c r="A13" t="s">
        <v>1090</v>
      </c>
      <c r="B13" s="81" t="s">
        <v>12</v>
      </c>
      <c r="D13" s="9">
        <v>300</v>
      </c>
      <c r="E13" s="9">
        <v>958.21</v>
      </c>
      <c r="F13" s="9">
        <v>300</v>
      </c>
      <c r="G13" s="9">
        <v>771.5</v>
      </c>
      <c r="H13" s="9">
        <v>0</v>
      </c>
      <c r="I13" s="9"/>
      <c r="J13" s="9"/>
      <c r="K13" s="33"/>
      <c r="L13" s="33"/>
    </row>
    <row r="14" spans="1:12" x14ac:dyDescent="0.25">
      <c r="A14" t="s">
        <v>1019</v>
      </c>
      <c r="B14" s="81" t="s">
        <v>92</v>
      </c>
      <c r="C14" s="9"/>
      <c r="D14" s="9">
        <v>0</v>
      </c>
      <c r="E14" s="9">
        <v>25666.39</v>
      </c>
      <c r="F14" s="9">
        <v>10000</v>
      </c>
      <c r="G14" s="9">
        <v>5267.33</v>
      </c>
      <c r="H14" s="9">
        <v>0</v>
      </c>
      <c r="I14" s="9"/>
      <c r="J14" s="9"/>
      <c r="K14" s="33"/>
      <c r="L14" s="33"/>
    </row>
    <row r="15" spans="1:12" x14ac:dyDescent="0.25">
      <c r="A15" s="24" t="s">
        <v>1390</v>
      </c>
      <c r="B15" s="54" t="s">
        <v>1391</v>
      </c>
      <c r="C15" s="9"/>
      <c r="D15" s="9">
        <v>0</v>
      </c>
      <c r="E15" s="9">
        <v>25000</v>
      </c>
      <c r="F15" s="9">
        <v>0</v>
      </c>
      <c r="G15" s="9">
        <v>0</v>
      </c>
      <c r="H15" s="9">
        <v>0</v>
      </c>
      <c r="I15" s="9"/>
      <c r="J15" s="9"/>
      <c r="K15" s="33"/>
      <c r="L15" s="33"/>
    </row>
    <row r="16" spans="1:12" x14ac:dyDescent="0.25">
      <c r="A16" t="s">
        <v>1020</v>
      </c>
      <c r="B16" t="s">
        <v>115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/>
      <c r="J16" s="9"/>
      <c r="K16" s="34"/>
      <c r="L16" s="34"/>
    </row>
    <row r="17" spans="1:12" x14ac:dyDescent="0.25">
      <c r="A17" t="s">
        <v>1091</v>
      </c>
      <c r="B17" t="s">
        <v>56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34"/>
      <c r="L17" s="34"/>
    </row>
    <row r="18" spans="1:12" x14ac:dyDescent="0.25">
      <c r="C18" s="9"/>
      <c r="D18" s="9"/>
      <c r="E18" s="9"/>
      <c r="F18" s="9"/>
      <c r="G18" s="9"/>
      <c r="H18" s="9"/>
      <c r="I18" s="9"/>
      <c r="J18" s="9"/>
      <c r="K18" s="34"/>
      <c r="L18" s="34"/>
    </row>
    <row r="19" spans="1:12" x14ac:dyDescent="0.25">
      <c r="B19" s="22" t="s">
        <v>57</v>
      </c>
      <c r="C19" s="9"/>
      <c r="D19" s="9">
        <f>SUM(D12:D17)</f>
        <v>300</v>
      </c>
      <c r="E19" s="9">
        <f>SUM(E12:E17)</f>
        <v>51624.6</v>
      </c>
      <c r="F19" s="9">
        <f>SUM(F12:F17)</f>
        <v>10300</v>
      </c>
      <c r="G19" s="9">
        <f>SUM(G12:G17)</f>
        <v>119966.65000000001</v>
      </c>
      <c r="H19" s="9">
        <f>SUM(H13:H17)</f>
        <v>0</v>
      </c>
      <c r="I19" s="9"/>
      <c r="J19" s="9"/>
      <c r="K19" s="34"/>
      <c r="L19" s="34"/>
    </row>
    <row r="20" spans="1:12" x14ac:dyDescent="0.25">
      <c r="I20" s="9"/>
      <c r="J20" s="9"/>
      <c r="K20" s="34"/>
      <c r="L20" s="34"/>
    </row>
    <row r="21" spans="1:12" x14ac:dyDescent="0.25">
      <c r="I21" s="9"/>
      <c r="J21" s="9"/>
      <c r="K21" s="34"/>
      <c r="L21" s="34"/>
    </row>
    <row r="22" spans="1:12" x14ac:dyDescent="0.25">
      <c r="A22" s="24" t="s">
        <v>1387</v>
      </c>
      <c r="B22" s="116">
        <v>67707.09</v>
      </c>
      <c r="I22" s="9"/>
      <c r="J22" s="9"/>
      <c r="K22" s="34"/>
      <c r="L22" s="34"/>
    </row>
    <row r="23" spans="1:12" x14ac:dyDescent="0.25">
      <c r="B23" s="24"/>
      <c r="I23" s="9"/>
      <c r="J23" s="9"/>
      <c r="K23" s="34"/>
      <c r="L23" s="34"/>
    </row>
    <row r="24" spans="1:12" x14ac:dyDescent="0.25">
      <c r="I24" s="9"/>
      <c r="J24" s="9"/>
      <c r="K24" s="34"/>
      <c r="L24" s="34"/>
    </row>
    <row r="25" spans="1:12" x14ac:dyDescent="0.25">
      <c r="I25" s="9"/>
      <c r="J25" s="9"/>
      <c r="K25" s="34"/>
      <c r="L25" s="34"/>
    </row>
    <row r="26" spans="1:12" x14ac:dyDescent="0.25">
      <c r="I26" s="9"/>
      <c r="J26" s="9"/>
      <c r="K26" s="34"/>
      <c r="L26" s="34"/>
    </row>
    <row r="27" spans="1:12" x14ac:dyDescent="0.25">
      <c r="I27" s="9"/>
      <c r="J27" s="9"/>
      <c r="K27" s="34"/>
      <c r="L27" s="34"/>
    </row>
    <row r="28" spans="1:12" x14ac:dyDescent="0.25">
      <c r="I28" s="9"/>
      <c r="J28" s="9"/>
      <c r="K28" s="34"/>
      <c r="L28" s="34"/>
    </row>
    <row r="29" spans="1:12" x14ac:dyDescent="0.25">
      <c r="I29" s="9"/>
      <c r="J29" s="9"/>
      <c r="K29" s="34"/>
      <c r="L29" s="34"/>
    </row>
    <row r="30" spans="1:12" x14ac:dyDescent="0.25">
      <c r="I30" s="9"/>
      <c r="J30" s="9"/>
      <c r="K30" s="34"/>
      <c r="L30" s="34"/>
    </row>
    <row r="31" spans="1:12" x14ac:dyDescent="0.25">
      <c r="I31" s="9"/>
      <c r="J31" s="9"/>
      <c r="K31" s="34"/>
      <c r="L31" s="34"/>
    </row>
    <row r="32" spans="1:12" x14ac:dyDescent="0.25">
      <c r="I32" s="9"/>
      <c r="J32" s="9"/>
      <c r="K32" s="34"/>
      <c r="L32" s="34"/>
    </row>
    <row r="33" spans="1:12" x14ac:dyDescent="0.25">
      <c r="I33" s="9"/>
      <c r="J33" s="9"/>
      <c r="K33" s="34"/>
      <c r="L33" s="34"/>
    </row>
    <row r="34" spans="1:12" x14ac:dyDescent="0.25">
      <c r="I34" s="9"/>
      <c r="J34" s="9"/>
      <c r="K34" s="34"/>
      <c r="L34" s="34"/>
    </row>
    <row r="35" spans="1:12" x14ac:dyDescent="0.25">
      <c r="I35" s="9"/>
      <c r="J35" s="9"/>
      <c r="K35" s="35"/>
      <c r="L35" s="35"/>
    </row>
    <row r="36" spans="1:12" x14ac:dyDescent="0.25">
      <c r="B36" s="22"/>
      <c r="I36" s="9"/>
      <c r="J36" s="9"/>
      <c r="K36" s="35"/>
      <c r="L36" s="35"/>
    </row>
    <row r="37" spans="1:12" x14ac:dyDescent="0.25">
      <c r="A37" s="10"/>
      <c r="I37" s="9"/>
      <c r="J37" s="9"/>
      <c r="K37" s="34"/>
      <c r="L37" s="34"/>
    </row>
    <row r="38" spans="1:12" x14ac:dyDescent="0.25">
      <c r="B38" s="24"/>
      <c r="I38" s="9"/>
      <c r="J38" s="9"/>
      <c r="K38" s="33"/>
      <c r="L38" s="33"/>
    </row>
    <row r="39" spans="1:12" x14ac:dyDescent="0.25">
      <c r="I39" s="9"/>
      <c r="J39" s="9"/>
      <c r="K39" s="34"/>
      <c r="L39" s="34"/>
    </row>
    <row r="40" spans="1:12" x14ac:dyDescent="0.25">
      <c r="A40" s="10"/>
      <c r="I40" s="9"/>
      <c r="J40" s="9"/>
      <c r="K40" s="34"/>
      <c r="L40" s="34"/>
    </row>
    <row r="41" spans="1:12" x14ac:dyDescent="0.25">
      <c r="I41" s="9"/>
      <c r="J41" s="9"/>
      <c r="K41" s="34"/>
      <c r="L41" s="34"/>
    </row>
    <row r="42" spans="1:12" x14ac:dyDescent="0.25">
      <c r="I42" s="9"/>
      <c r="J42" s="9"/>
      <c r="K42" s="34"/>
      <c r="L42" s="34"/>
    </row>
    <row r="43" spans="1:12" x14ac:dyDescent="0.25">
      <c r="I43" s="9"/>
      <c r="J43" s="9"/>
      <c r="K43" s="34"/>
      <c r="L43" s="34"/>
    </row>
    <row r="44" spans="1:12" x14ac:dyDescent="0.25">
      <c r="I44" s="9"/>
      <c r="J44" s="9"/>
      <c r="K44" s="33"/>
      <c r="L44" s="33"/>
    </row>
    <row r="45" spans="1:12" x14ac:dyDescent="0.25">
      <c r="I45" s="9"/>
      <c r="J45" s="9"/>
      <c r="K45" s="33"/>
      <c r="L45" s="33"/>
    </row>
    <row r="46" spans="1:12" x14ac:dyDescent="0.25">
      <c r="I46" s="9"/>
      <c r="J46" s="9"/>
      <c r="K46" s="34"/>
      <c r="L46" s="34"/>
    </row>
    <row r="47" spans="1:12" x14ac:dyDescent="0.25">
      <c r="I47" s="9"/>
      <c r="J47" s="9"/>
      <c r="K47" s="34"/>
      <c r="L47" s="34"/>
    </row>
    <row r="48" spans="1:12" x14ac:dyDescent="0.25">
      <c r="I48" s="9"/>
      <c r="J48" s="9"/>
      <c r="K48" s="33"/>
      <c r="L48" s="33"/>
    </row>
    <row r="49" spans="1:12" x14ac:dyDescent="0.25">
      <c r="I49" s="9"/>
      <c r="J49" s="9"/>
      <c r="K49" s="34"/>
      <c r="L49" s="34"/>
    </row>
    <row r="50" spans="1:12" x14ac:dyDescent="0.25">
      <c r="I50" s="9"/>
      <c r="J50" s="9"/>
      <c r="K50" s="34"/>
      <c r="L50" s="34"/>
    </row>
    <row r="51" spans="1:12" x14ac:dyDescent="0.25">
      <c r="I51" s="9"/>
      <c r="J51" s="9"/>
      <c r="K51" s="33"/>
      <c r="L51" s="33"/>
    </row>
    <row r="52" spans="1:12" x14ac:dyDescent="0.25">
      <c r="I52" s="9"/>
      <c r="J52" s="9"/>
      <c r="K52" s="33"/>
      <c r="L52" s="33"/>
    </row>
    <row r="53" spans="1:12" x14ac:dyDescent="0.25">
      <c r="I53" s="9"/>
      <c r="J53" s="9"/>
      <c r="K53" s="33"/>
      <c r="L53" s="33"/>
    </row>
    <row r="54" spans="1:12" x14ac:dyDescent="0.25">
      <c r="I54" s="9"/>
      <c r="J54" s="9"/>
      <c r="K54" s="33"/>
      <c r="L54" s="33"/>
    </row>
    <row r="55" spans="1:12" x14ac:dyDescent="0.25">
      <c r="I55" s="9"/>
      <c r="J55" s="9"/>
      <c r="K55" s="33"/>
      <c r="L55" s="33"/>
    </row>
    <row r="56" spans="1:12" x14ac:dyDescent="0.25">
      <c r="I56" s="9"/>
      <c r="J56" s="9"/>
      <c r="K56" s="34"/>
      <c r="L56" s="34"/>
    </row>
    <row r="57" spans="1:12" x14ac:dyDescent="0.25">
      <c r="B57" s="24"/>
      <c r="I57" s="9"/>
      <c r="J57" s="9"/>
      <c r="K57" s="34"/>
      <c r="L57" s="34"/>
    </row>
    <row r="58" spans="1:12" x14ac:dyDescent="0.25">
      <c r="I58" s="9"/>
      <c r="J58" s="9"/>
      <c r="K58" s="34"/>
      <c r="L58" s="34"/>
    </row>
    <row r="59" spans="1:12" x14ac:dyDescent="0.25">
      <c r="I59" s="9"/>
      <c r="J59" s="9"/>
      <c r="K59" s="34"/>
      <c r="L59" s="34"/>
    </row>
    <row r="60" spans="1:12" x14ac:dyDescent="0.25">
      <c r="A60" s="24"/>
      <c r="B60" s="24"/>
      <c r="I60" s="9"/>
      <c r="J60" s="9"/>
      <c r="K60" s="34"/>
      <c r="L60" s="34"/>
    </row>
    <row r="61" spans="1:12" x14ac:dyDescent="0.25">
      <c r="I61" s="9"/>
      <c r="J61" s="9"/>
      <c r="K61" s="34"/>
      <c r="L61" s="34"/>
    </row>
    <row r="62" spans="1:12" x14ac:dyDescent="0.25">
      <c r="I62" s="9"/>
      <c r="J62" s="9"/>
      <c r="K62" s="34"/>
      <c r="L62" s="34"/>
    </row>
    <row r="63" spans="1:12" x14ac:dyDescent="0.25">
      <c r="I63" s="9"/>
      <c r="J63" s="9"/>
      <c r="K63" s="34"/>
      <c r="L63" s="34"/>
    </row>
    <row r="64" spans="1:12" x14ac:dyDescent="0.25">
      <c r="B64" s="22"/>
      <c r="I64" s="9"/>
      <c r="J64" s="9"/>
      <c r="K64" s="35"/>
      <c r="L64" s="35"/>
    </row>
    <row r="65" spans="1:10" x14ac:dyDescent="0.25">
      <c r="A65" s="10"/>
      <c r="I65" s="9"/>
      <c r="J65" s="9"/>
    </row>
  </sheetData>
  <pageMargins left="0.7" right="0.7" top="0.75" bottom="0.75" header="0.3" footer="0.3"/>
  <pageSetup orientation="landscape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L49"/>
  <sheetViews>
    <sheetView workbookViewId="0">
      <selection activeCell="D22" sqref="D22"/>
    </sheetView>
  </sheetViews>
  <sheetFormatPr defaultRowHeight="13.2" x14ac:dyDescent="0.25"/>
  <cols>
    <col min="1" max="1" width="24.33203125" customWidth="1"/>
    <col min="2" max="2" width="35.33203125" bestFit="1" customWidth="1"/>
    <col min="3" max="3" width="4.44140625" customWidth="1"/>
    <col min="4" max="8" width="11.6640625" customWidth="1"/>
  </cols>
  <sheetData>
    <row r="1" spans="1:12" ht="15.6" x14ac:dyDescent="0.3">
      <c r="B1" s="11" t="s">
        <v>901</v>
      </c>
      <c r="D1" s="1">
        <v>2021</v>
      </c>
      <c r="E1" s="1">
        <v>2020</v>
      </c>
      <c r="F1" s="36">
        <v>2020</v>
      </c>
      <c r="G1" s="36">
        <v>2019</v>
      </c>
      <c r="H1" s="36">
        <v>2019</v>
      </c>
      <c r="I1" s="36"/>
      <c r="J1" s="36"/>
      <c r="K1" s="36"/>
      <c r="L1" s="36"/>
    </row>
    <row r="2" spans="1:12" ht="15.6" x14ac:dyDescent="0.3">
      <c r="B2" s="11"/>
      <c r="D2" s="1" t="s">
        <v>1295</v>
      </c>
      <c r="E2" s="1" t="s">
        <v>1179</v>
      </c>
      <c r="F2" s="36" t="s">
        <v>501</v>
      </c>
      <c r="G2" s="36" t="s">
        <v>794</v>
      </c>
      <c r="H2" s="36" t="s">
        <v>501</v>
      </c>
      <c r="I2" s="36"/>
      <c r="J2" s="36"/>
      <c r="K2" s="36"/>
      <c r="L2" s="36"/>
    </row>
    <row r="3" spans="1:12" x14ac:dyDescent="0.25">
      <c r="A3" t="s">
        <v>76</v>
      </c>
    </row>
    <row r="4" spans="1:12" x14ac:dyDescent="0.25">
      <c r="A4" s="24" t="s">
        <v>899</v>
      </c>
      <c r="B4" t="s">
        <v>680</v>
      </c>
      <c r="D4" s="9">
        <v>30</v>
      </c>
      <c r="E4" s="9">
        <v>19.358000000000001</v>
      </c>
      <c r="F4" s="9">
        <v>30</v>
      </c>
      <c r="G4" s="9">
        <v>31.36</v>
      </c>
      <c r="H4" s="9">
        <v>50</v>
      </c>
      <c r="I4" s="9"/>
      <c r="J4" s="9"/>
      <c r="K4" s="33"/>
      <c r="L4" s="33"/>
    </row>
    <row r="5" spans="1:12" x14ac:dyDescent="0.25">
      <c r="A5" s="24" t="s">
        <v>900</v>
      </c>
      <c r="B5" s="24" t="s">
        <v>902</v>
      </c>
      <c r="D5" s="9">
        <v>12000</v>
      </c>
      <c r="E5" s="9">
        <v>11000</v>
      </c>
      <c r="F5" s="9">
        <v>12000</v>
      </c>
      <c r="G5" s="9">
        <v>12000</v>
      </c>
      <c r="H5" s="9">
        <v>12000</v>
      </c>
      <c r="I5" s="9"/>
      <c r="J5" s="9"/>
      <c r="K5" s="34"/>
      <c r="L5" s="34"/>
    </row>
    <row r="6" spans="1:12" x14ac:dyDescent="0.25">
      <c r="D6" s="9"/>
      <c r="E6" s="9"/>
      <c r="F6" s="9"/>
      <c r="G6" s="9"/>
      <c r="H6" s="9"/>
      <c r="I6" s="9"/>
      <c r="J6" s="50"/>
      <c r="K6" s="42"/>
      <c r="L6" s="42"/>
    </row>
    <row r="7" spans="1:12" x14ac:dyDescent="0.25">
      <c r="D7" s="9"/>
      <c r="E7" s="9"/>
      <c r="F7" s="9"/>
      <c r="G7" s="9"/>
      <c r="H7" s="9"/>
      <c r="I7" s="9"/>
      <c r="J7" s="9"/>
      <c r="K7" s="34"/>
      <c r="L7" s="34"/>
    </row>
    <row r="8" spans="1:12" x14ac:dyDescent="0.25">
      <c r="B8" s="22" t="s">
        <v>57</v>
      </c>
      <c r="D8" s="9">
        <f>SUM(D4:D5)</f>
        <v>12030</v>
      </c>
      <c r="E8" s="9">
        <f>SUM(E4:E5)</f>
        <v>11019.358</v>
      </c>
      <c r="F8" s="9">
        <f>SUM(F4:F5)</f>
        <v>12030</v>
      </c>
      <c r="G8" s="9">
        <f>SUM(G4:G5)</f>
        <v>12031.36</v>
      </c>
      <c r="H8" s="9">
        <f>SUM(H4:H7)</f>
        <v>12050</v>
      </c>
      <c r="I8" s="9"/>
      <c r="J8" s="9"/>
      <c r="K8" s="33"/>
      <c r="L8" s="33"/>
    </row>
    <row r="9" spans="1:12" x14ac:dyDescent="0.25">
      <c r="A9" t="s">
        <v>77</v>
      </c>
      <c r="D9" s="9"/>
      <c r="E9" s="9"/>
      <c r="F9" s="9"/>
      <c r="G9" s="9"/>
      <c r="H9" s="9"/>
      <c r="I9" s="9"/>
      <c r="J9" s="9"/>
      <c r="K9" s="34"/>
      <c r="L9" s="34"/>
    </row>
    <row r="10" spans="1:12" x14ac:dyDescent="0.25">
      <c r="A10" t="s">
        <v>126</v>
      </c>
      <c r="D10" s="9"/>
      <c r="E10" s="9"/>
      <c r="F10" s="9"/>
      <c r="G10" s="9"/>
      <c r="H10" s="9"/>
      <c r="I10" s="9"/>
      <c r="J10" s="9"/>
      <c r="K10" s="34"/>
      <c r="L10" s="34"/>
    </row>
    <row r="11" spans="1:12" x14ac:dyDescent="0.25">
      <c r="A11" t="s">
        <v>908</v>
      </c>
      <c r="B11" t="s">
        <v>128</v>
      </c>
      <c r="D11" s="9">
        <v>700</v>
      </c>
      <c r="E11" s="9">
        <v>647</v>
      </c>
      <c r="F11" s="9">
        <v>600</v>
      </c>
      <c r="G11" s="9">
        <v>502</v>
      </c>
      <c r="H11" s="9">
        <v>600</v>
      </c>
      <c r="I11" s="9"/>
      <c r="J11" s="9"/>
      <c r="K11" s="34"/>
      <c r="L11" s="34"/>
    </row>
    <row r="12" spans="1:12" x14ac:dyDescent="0.25">
      <c r="A12" s="24" t="s">
        <v>903</v>
      </c>
      <c r="D12" s="9"/>
      <c r="E12" s="9"/>
      <c r="F12" s="9"/>
      <c r="G12" s="9"/>
      <c r="H12" s="9"/>
      <c r="I12" s="9"/>
      <c r="J12" s="9"/>
      <c r="K12" s="34"/>
      <c r="L12" s="34"/>
    </row>
    <row r="13" spans="1:12" x14ac:dyDescent="0.25">
      <c r="A13" s="24" t="s">
        <v>904</v>
      </c>
      <c r="B13" s="24" t="s">
        <v>905</v>
      </c>
      <c r="D13" s="9">
        <v>3000</v>
      </c>
      <c r="E13" s="9">
        <v>2680</v>
      </c>
      <c r="F13" s="9">
        <v>2700</v>
      </c>
      <c r="G13" s="9">
        <v>2592</v>
      </c>
      <c r="H13" s="9">
        <v>3600</v>
      </c>
      <c r="I13" s="9"/>
      <c r="J13" s="9"/>
      <c r="K13" s="34"/>
      <c r="L13" s="34"/>
    </row>
    <row r="14" spans="1:12" x14ac:dyDescent="0.25">
      <c r="A14" s="24" t="s">
        <v>828</v>
      </c>
      <c r="B14" s="24"/>
      <c r="D14" s="9"/>
      <c r="E14" s="9"/>
      <c r="F14" s="9"/>
      <c r="G14" s="9"/>
      <c r="H14" s="9"/>
      <c r="I14" s="9"/>
      <c r="J14" s="9"/>
      <c r="K14" s="34"/>
      <c r="L14" s="34"/>
    </row>
    <row r="15" spans="1:12" x14ac:dyDescent="0.25">
      <c r="A15" s="24" t="s">
        <v>1021</v>
      </c>
      <c r="B15" s="24" t="s">
        <v>193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/>
      <c r="J15" s="9"/>
      <c r="K15" s="34"/>
      <c r="L15" s="34"/>
    </row>
    <row r="16" spans="1:12" x14ac:dyDescent="0.25">
      <c r="A16" s="24" t="s">
        <v>1022</v>
      </c>
      <c r="B16" s="24" t="s">
        <v>1023</v>
      </c>
      <c r="D16" s="9">
        <v>8311</v>
      </c>
      <c r="E16" s="9">
        <v>8311.07</v>
      </c>
      <c r="F16" s="9">
        <v>8311</v>
      </c>
      <c r="G16" s="9">
        <v>8311</v>
      </c>
      <c r="H16" s="9">
        <v>8311</v>
      </c>
      <c r="I16" s="9"/>
      <c r="J16" s="9"/>
      <c r="K16" s="34"/>
      <c r="L16" s="34"/>
    </row>
    <row r="17" spans="1:12" x14ac:dyDescent="0.25">
      <c r="A17" s="24" t="s">
        <v>925</v>
      </c>
      <c r="B17" s="24"/>
      <c r="D17" s="9"/>
      <c r="E17" s="9"/>
      <c r="F17" s="9"/>
      <c r="G17" s="9"/>
      <c r="H17" s="9"/>
      <c r="I17" s="9"/>
      <c r="J17" s="9"/>
      <c r="K17" s="34"/>
      <c r="L17" s="34"/>
    </row>
    <row r="18" spans="1:12" x14ac:dyDescent="0.25">
      <c r="A18" s="24" t="s">
        <v>927</v>
      </c>
      <c r="B18" s="24" t="s">
        <v>115</v>
      </c>
      <c r="D18" s="9">
        <v>300</v>
      </c>
      <c r="E18" s="9">
        <v>0</v>
      </c>
      <c r="F18" s="9">
        <v>400</v>
      </c>
      <c r="G18" s="9">
        <v>0</v>
      </c>
      <c r="H18" s="9">
        <v>500</v>
      </c>
      <c r="I18" s="9"/>
      <c r="J18" s="9"/>
      <c r="K18" s="34"/>
      <c r="L18" s="34"/>
    </row>
    <row r="19" spans="1:12" x14ac:dyDescent="0.25">
      <c r="D19" s="9"/>
      <c r="E19" s="9"/>
      <c r="F19" s="9"/>
      <c r="G19" s="9"/>
      <c r="H19" s="9"/>
      <c r="I19" s="9"/>
      <c r="J19" s="9"/>
      <c r="K19" s="35"/>
      <c r="L19" s="35"/>
    </row>
    <row r="20" spans="1:12" x14ac:dyDescent="0.25">
      <c r="B20" s="22" t="s">
        <v>57</v>
      </c>
      <c r="D20" s="9">
        <f>SUM(D11:D18)</f>
        <v>12311</v>
      </c>
      <c r="E20" s="9">
        <f>SUM(E11:E18)</f>
        <v>11638.07</v>
      </c>
      <c r="F20" s="9">
        <f>SUM(F11:F18)</f>
        <v>12011</v>
      </c>
      <c r="G20" s="9">
        <f>SUM(G11:G18)</f>
        <v>11405</v>
      </c>
      <c r="H20" s="9">
        <f>SUM(H11:H19)</f>
        <v>13011</v>
      </c>
      <c r="I20" s="9"/>
      <c r="J20" s="9"/>
      <c r="K20" s="35"/>
      <c r="L20" s="35"/>
    </row>
    <row r="21" spans="1:12" x14ac:dyDescent="0.25">
      <c r="A21" s="10"/>
      <c r="I21" s="9"/>
      <c r="J21" s="9"/>
      <c r="K21" s="34"/>
      <c r="L21" s="34"/>
    </row>
    <row r="22" spans="1:12" x14ac:dyDescent="0.25">
      <c r="A22" s="24" t="s">
        <v>1392</v>
      </c>
      <c r="B22" s="109">
        <v>9507.94</v>
      </c>
      <c r="I22" s="9"/>
      <c r="J22" s="9"/>
      <c r="K22" s="33"/>
      <c r="L22" s="33"/>
    </row>
    <row r="23" spans="1:12" x14ac:dyDescent="0.25">
      <c r="I23" s="9"/>
      <c r="J23" s="9"/>
      <c r="K23" s="34"/>
      <c r="L23" s="34"/>
    </row>
    <row r="24" spans="1:12" x14ac:dyDescent="0.25">
      <c r="A24" s="10"/>
      <c r="I24" s="9"/>
      <c r="J24" s="9"/>
      <c r="K24" s="34"/>
      <c r="L24" s="34"/>
    </row>
    <row r="25" spans="1:12" x14ac:dyDescent="0.25">
      <c r="I25" s="9"/>
      <c r="J25" s="9"/>
      <c r="K25" s="34"/>
      <c r="L25" s="34"/>
    </row>
    <row r="26" spans="1:12" x14ac:dyDescent="0.25">
      <c r="I26" s="9"/>
      <c r="J26" s="9"/>
      <c r="K26" s="34"/>
      <c r="L26" s="34"/>
    </row>
    <row r="27" spans="1:12" x14ac:dyDescent="0.25">
      <c r="I27" s="9"/>
      <c r="J27" s="9"/>
      <c r="K27" s="34"/>
      <c r="L27" s="34"/>
    </row>
    <row r="28" spans="1:12" x14ac:dyDescent="0.25">
      <c r="I28" s="9"/>
      <c r="J28" s="9"/>
      <c r="K28" s="33"/>
      <c r="L28" s="33"/>
    </row>
    <row r="29" spans="1:12" x14ac:dyDescent="0.25">
      <c r="I29" s="9"/>
      <c r="J29" s="9"/>
      <c r="K29" s="33"/>
      <c r="L29" s="33"/>
    </row>
    <row r="30" spans="1:12" x14ac:dyDescent="0.25">
      <c r="I30" s="9"/>
      <c r="J30" s="9"/>
      <c r="K30" s="34"/>
      <c r="L30" s="34"/>
    </row>
    <row r="31" spans="1:12" x14ac:dyDescent="0.25">
      <c r="I31" s="9"/>
      <c r="J31" s="9"/>
      <c r="K31" s="34"/>
      <c r="L31" s="34"/>
    </row>
    <row r="32" spans="1:12" x14ac:dyDescent="0.25">
      <c r="I32" s="9"/>
      <c r="J32" s="9"/>
      <c r="K32" s="33"/>
      <c r="L32" s="33"/>
    </row>
    <row r="33" spans="1:12" x14ac:dyDescent="0.25">
      <c r="I33" s="9"/>
      <c r="J33" s="9"/>
      <c r="K33" s="34"/>
      <c r="L33" s="34"/>
    </row>
    <row r="34" spans="1:12" x14ac:dyDescent="0.25">
      <c r="I34" s="9"/>
      <c r="J34" s="9"/>
      <c r="K34" s="34"/>
      <c r="L34" s="34"/>
    </row>
    <row r="35" spans="1:12" x14ac:dyDescent="0.25">
      <c r="I35" s="9"/>
      <c r="J35" s="9"/>
      <c r="K35" s="33"/>
      <c r="L35" s="33"/>
    </row>
    <row r="36" spans="1:12" x14ac:dyDescent="0.25">
      <c r="I36" s="9"/>
      <c r="J36" s="9"/>
      <c r="K36" s="33"/>
      <c r="L36" s="33"/>
    </row>
    <row r="37" spans="1:12" x14ac:dyDescent="0.25">
      <c r="I37" s="9"/>
      <c r="J37" s="9"/>
      <c r="K37" s="33"/>
      <c r="L37" s="33"/>
    </row>
    <row r="38" spans="1:12" x14ac:dyDescent="0.25">
      <c r="I38" s="9"/>
      <c r="J38" s="9"/>
      <c r="K38" s="33"/>
      <c r="L38" s="33"/>
    </row>
    <row r="39" spans="1:12" x14ac:dyDescent="0.25">
      <c r="I39" s="9"/>
      <c r="J39" s="9"/>
      <c r="K39" s="33"/>
      <c r="L39" s="33"/>
    </row>
    <row r="40" spans="1:12" x14ac:dyDescent="0.25">
      <c r="I40" s="9"/>
      <c r="J40" s="9"/>
      <c r="K40" s="34"/>
      <c r="L40" s="34"/>
    </row>
    <row r="41" spans="1:12" x14ac:dyDescent="0.25">
      <c r="B41" s="24"/>
      <c r="I41" s="9"/>
      <c r="J41" s="9"/>
      <c r="K41" s="34"/>
      <c r="L41" s="34"/>
    </row>
    <row r="42" spans="1:12" x14ac:dyDescent="0.25">
      <c r="I42" s="9"/>
      <c r="J42" s="9"/>
      <c r="K42" s="34"/>
      <c r="L42" s="34"/>
    </row>
    <row r="43" spans="1:12" x14ac:dyDescent="0.25">
      <c r="I43" s="9"/>
      <c r="J43" s="9"/>
      <c r="K43" s="34"/>
      <c r="L43" s="34"/>
    </row>
    <row r="44" spans="1:12" x14ac:dyDescent="0.25">
      <c r="A44" s="24"/>
      <c r="B44" s="24"/>
      <c r="I44" s="9"/>
      <c r="J44" s="9"/>
      <c r="K44" s="34"/>
      <c r="L44" s="34"/>
    </row>
    <row r="45" spans="1:12" x14ac:dyDescent="0.25">
      <c r="I45" s="9"/>
      <c r="J45" s="9"/>
      <c r="K45" s="34"/>
      <c r="L45" s="34"/>
    </row>
    <row r="46" spans="1:12" x14ac:dyDescent="0.25">
      <c r="I46" s="9"/>
      <c r="J46" s="9"/>
      <c r="K46" s="34"/>
      <c r="L46" s="34"/>
    </row>
    <row r="47" spans="1:12" x14ac:dyDescent="0.25">
      <c r="I47" s="9"/>
      <c r="J47" s="9"/>
      <c r="K47" s="34"/>
      <c r="L47" s="34"/>
    </row>
    <row r="48" spans="1:12" x14ac:dyDescent="0.25">
      <c r="B48" s="22"/>
      <c r="I48" s="9"/>
      <c r="J48" s="9"/>
      <c r="K48" s="35"/>
      <c r="L48" s="35"/>
    </row>
    <row r="49" spans="1:10" x14ac:dyDescent="0.25">
      <c r="A49" s="10"/>
      <c r="I49" s="9"/>
      <c r="J49" s="9"/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1"/>
  <sheetViews>
    <sheetView topLeftCell="A55" zoomScaleNormal="100" workbookViewId="0">
      <selection activeCell="B84" sqref="B84"/>
    </sheetView>
  </sheetViews>
  <sheetFormatPr defaultRowHeight="13.2" x14ac:dyDescent="0.25"/>
  <cols>
    <col min="1" max="1" width="18.33203125" customWidth="1"/>
    <col min="2" max="2" width="34.88671875" customWidth="1"/>
    <col min="3" max="9" width="11.6640625" customWidth="1"/>
  </cols>
  <sheetData>
    <row r="1" spans="1:9" ht="15.6" x14ac:dyDescent="0.3">
      <c r="B1" s="11" t="s">
        <v>475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  <c r="I1" s="36">
        <v>2018</v>
      </c>
    </row>
    <row r="2" spans="1:9" ht="15.6" x14ac:dyDescent="0.3">
      <c r="B2" s="11"/>
      <c r="C2" s="1" t="s">
        <v>501</v>
      </c>
      <c r="D2" s="1" t="s">
        <v>1370</v>
      </c>
      <c r="E2" s="36" t="s">
        <v>501</v>
      </c>
      <c r="F2" s="36" t="s">
        <v>794</v>
      </c>
      <c r="G2" s="36" t="s">
        <v>501</v>
      </c>
      <c r="H2" s="36" t="s">
        <v>794</v>
      </c>
      <c r="I2" s="36" t="s">
        <v>501</v>
      </c>
    </row>
    <row r="3" spans="1:9" ht="15.6" x14ac:dyDescent="0.3">
      <c r="A3" s="24" t="s">
        <v>76</v>
      </c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24" t="s">
        <v>960</v>
      </c>
      <c r="B4" s="24" t="s">
        <v>961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</row>
    <row r="5" spans="1:9" x14ac:dyDescent="0.25">
      <c r="A5" s="24" t="s">
        <v>950</v>
      </c>
      <c r="B5" s="24" t="s">
        <v>464</v>
      </c>
      <c r="C5" s="49">
        <v>2600</v>
      </c>
      <c r="D5" s="49">
        <v>845</v>
      </c>
      <c r="E5" s="35">
        <v>2800</v>
      </c>
      <c r="F5" s="49">
        <v>2440</v>
      </c>
      <c r="G5" s="49">
        <v>1800</v>
      </c>
      <c r="H5" s="49">
        <v>2100</v>
      </c>
      <c r="I5" s="49">
        <v>1800</v>
      </c>
    </row>
    <row r="6" spans="1:9" x14ac:dyDescent="0.25">
      <c r="A6" s="24" t="s">
        <v>959</v>
      </c>
      <c r="B6" s="24" t="s">
        <v>660</v>
      </c>
      <c r="C6" s="49">
        <v>300</v>
      </c>
      <c r="D6" s="49">
        <v>0</v>
      </c>
      <c r="E6" s="35">
        <v>300</v>
      </c>
      <c r="F6" s="49">
        <v>300</v>
      </c>
      <c r="G6" s="49">
        <v>300</v>
      </c>
      <c r="H6" s="49">
        <v>300</v>
      </c>
      <c r="I6" s="49">
        <v>600</v>
      </c>
    </row>
    <row r="7" spans="1:9" x14ac:dyDescent="0.25">
      <c r="A7" s="24" t="s">
        <v>951</v>
      </c>
      <c r="B7" s="24" t="s">
        <v>952</v>
      </c>
      <c r="C7" s="49">
        <v>2000</v>
      </c>
      <c r="D7" s="49">
        <v>1340</v>
      </c>
      <c r="E7" s="35">
        <v>2000</v>
      </c>
      <c r="F7" s="49">
        <v>2280</v>
      </c>
      <c r="G7" s="49">
        <v>1200</v>
      </c>
      <c r="H7" s="49">
        <v>1800</v>
      </c>
      <c r="I7" s="49">
        <v>1000</v>
      </c>
    </row>
    <row r="8" spans="1:9" x14ac:dyDescent="0.25">
      <c r="A8" s="24" t="s">
        <v>953</v>
      </c>
      <c r="B8" s="24" t="s">
        <v>1234</v>
      </c>
      <c r="C8" s="49">
        <v>200</v>
      </c>
      <c r="D8" s="49">
        <v>0</v>
      </c>
      <c r="E8" s="49">
        <v>200</v>
      </c>
      <c r="F8" s="49">
        <v>200</v>
      </c>
      <c r="G8" s="49">
        <v>0</v>
      </c>
      <c r="H8" s="49">
        <v>200</v>
      </c>
      <c r="I8" s="49">
        <v>0</v>
      </c>
    </row>
    <row r="9" spans="1:9" x14ac:dyDescent="0.25">
      <c r="A9" s="24" t="s">
        <v>954</v>
      </c>
      <c r="B9" s="24" t="s">
        <v>467</v>
      </c>
      <c r="C9" s="49">
        <v>0</v>
      </c>
      <c r="D9" s="49">
        <v>40</v>
      </c>
      <c r="E9" s="49">
        <v>0</v>
      </c>
      <c r="F9" s="49">
        <v>694</v>
      </c>
      <c r="G9" s="49">
        <v>0</v>
      </c>
      <c r="H9" s="49">
        <v>0</v>
      </c>
      <c r="I9" s="49">
        <v>0</v>
      </c>
    </row>
    <row r="10" spans="1:9" x14ac:dyDescent="0.25">
      <c r="A10" s="24" t="s">
        <v>1257</v>
      </c>
      <c r="B10" s="24" t="s">
        <v>661</v>
      </c>
      <c r="C10" s="49">
        <v>0</v>
      </c>
      <c r="D10" s="49">
        <v>0</v>
      </c>
      <c r="E10" s="49">
        <v>0</v>
      </c>
      <c r="F10" s="49">
        <v>2000</v>
      </c>
      <c r="G10" s="49">
        <v>0</v>
      </c>
      <c r="H10" s="49">
        <v>0</v>
      </c>
      <c r="I10" s="49">
        <v>0</v>
      </c>
    </row>
    <row r="11" spans="1:9" x14ac:dyDescent="0.25">
      <c r="A11" s="24" t="s">
        <v>955</v>
      </c>
      <c r="B11" s="24" t="s">
        <v>956</v>
      </c>
      <c r="C11" s="49">
        <v>0</v>
      </c>
      <c r="D11" s="49">
        <v>0</v>
      </c>
      <c r="E11" s="49">
        <v>0</v>
      </c>
      <c r="F11" s="49">
        <v>13.25</v>
      </c>
      <c r="G11" s="49">
        <v>0</v>
      </c>
      <c r="H11" s="49">
        <v>0</v>
      </c>
      <c r="I11" s="49">
        <v>0</v>
      </c>
    </row>
    <row r="12" spans="1:9" x14ac:dyDescent="0.25">
      <c r="A12" s="24" t="s">
        <v>1260</v>
      </c>
      <c r="B12" s="24" t="s">
        <v>1261</v>
      </c>
      <c r="C12" s="49">
        <v>5400</v>
      </c>
      <c r="D12" s="49">
        <v>4500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24" t="s">
        <v>1258</v>
      </c>
      <c r="B13" s="24" t="s">
        <v>1259</v>
      </c>
      <c r="C13" s="49">
        <v>0</v>
      </c>
      <c r="D13" s="49">
        <v>0</v>
      </c>
      <c r="E13" s="49">
        <v>0</v>
      </c>
      <c r="F13" s="49">
        <v>30</v>
      </c>
      <c r="G13" s="49">
        <v>0</v>
      </c>
      <c r="H13" s="49">
        <v>0</v>
      </c>
      <c r="I13" s="49">
        <v>0</v>
      </c>
    </row>
    <row r="14" spans="1:9" x14ac:dyDescent="0.25">
      <c r="A14" s="24" t="s">
        <v>957</v>
      </c>
      <c r="B14" s="24" t="s">
        <v>958</v>
      </c>
      <c r="C14" s="49">
        <v>6000</v>
      </c>
      <c r="D14" s="49">
        <v>5735.66</v>
      </c>
      <c r="E14" s="49">
        <v>6000</v>
      </c>
      <c r="F14" s="49">
        <v>7168.89</v>
      </c>
      <c r="G14" s="49">
        <v>6000</v>
      </c>
      <c r="H14" s="49">
        <v>5148.71</v>
      </c>
      <c r="I14" s="49">
        <v>6000</v>
      </c>
    </row>
    <row r="15" spans="1:9" x14ac:dyDescent="0.25">
      <c r="A15" s="24"/>
      <c r="B15" s="24"/>
      <c r="C15" s="49"/>
      <c r="D15" s="49"/>
      <c r="E15" s="49"/>
      <c r="F15" s="49"/>
      <c r="G15" s="49"/>
      <c r="H15" s="49"/>
      <c r="I15" s="49"/>
    </row>
    <row r="16" spans="1:9" x14ac:dyDescent="0.25">
      <c r="A16" s="24"/>
      <c r="B16" s="26" t="s">
        <v>57</v>
      </c>
      <c r="C16" s="97">
        <f t="shared" ref="C16:H16" si="0">SUM(C4:C14)</f>
        <v>16500</v>
      </c>
      <c r="D16" s="97">
        <f t="shared" si="0"/>
        <v>12460.66</v>
      </c>
      <c r="E16" s="97">
        <f t="shared" si="0"/>
        <v>11300</v>
      </c>
      <c r="F16" s="97">
        <f t="shared" si="0"/>
        <v>15126.14</v>
      </c>
      <c r="G16" s="97">
        <f t="shared" si="0"/>
        <v>9300</v>
      </c>
      <c r="H16" s="97">
        <f t="shared" si="0"/>
        <v>9548.7099999999991</v>
      </c>
      <c r="I16" s="97">
        <f>SUM(I4:I15)</f>
        <v>9400</v>
      </c>
    </row>
    <row r="17" spans="1:9" ht="15" x14ac:dyDescent="0.25">
      <c r="B17" s="37"/>
      <c r="C17" s="55"/>
      <c r="D17" s="55"/>
      <c r="E17" s="55"/>
      <c r="F17" s="55"/>
      <c r="G17" s="55"/>
      <c r="H17" s="55"/>
      <c r="I17" s="55"/>
    </row>
    <row r="18" spans="1:9" x14ac:dyDescent="0.25">
      <c r="A18" t="s">
        <v>77</v>
      </c>
      <c r="C18" s="9"/>
      <c r="D18" s="9"/>
      <c r="E18" s="9"/>
      <c r="F18" s="9"/>
      <c r="G18" s="9"/>
      <c r="H18" s="9"/>
      <c r="I18" s="9"/>
    </row>
    <row r="19" spans="1:9" x14ac:dyDescent="0.25">
      <c r="A19" t="s">
        <v>190</v>
      </c>
      <c r="C19" s="9"/>
      <c r="D19" s="9"/>
      <c r="E19" s="9"/>
      <c r="F19" s="9"/>
      <c r="G19" s="9"/>
      <c r="H19" s="9"/>
      <c r="I19" s="9"/>
    </row>
    <row r="20" spans="1:9" x14ac:dyDescent="0.25">
      <c r="A20" t="s">
        <v>94</v>
      </c>
      <c r="B20" t="s">
        <v>96</v>
      </c>
      <c r="C20" s="9">
        <f>68277+57262+47965</f>
        <v>173504</v>
      </c>
      <c r="D20" s="9">
        <v>123757.78</v>
      </c>
      <c r="E20" s="34">
        <f>54038.4+45864+70000</f>
        <v>169902.4</v>
      </c>
      <c r="F20" s="9">
        <v>111009.23</v>
      </c>
      <c r="G20" s="9">
        <f>53048.32+44075.2+51438.4</f>
        <v>148561.91999999998</v>
      </c>
      <c r="H20" s="9">
        <v>112602.22</v>
      </c>
      <c r="I20" s="9">
        <f>49920+42369.6+60000</f>
        <v>152289.60000000001</v>
      </c>
    </row>
    <row r="21" spans="1:9" x14ac:dyDescent="0.25">
      <c r="A21" t="s">
        <v>95</v>
      </c>
      <c r="B21" t="s">
        <v>97</v>
      </c>
      <c r="C21" s="9">
        <v>1000</v>
      </c>
      <c r="D21" s="9">
        <v>257.61</v>
      </c>
      <c r="E21" s="9">
        <v>500</v>
      </c>
      <c r="F21" s="9">
        <v>669.23</v>
      </c>
      <c r="G21" s="9">
        <v>500</v>
      </c>
      <c r="H21" s="9">
        <v>435.37</v>
      </c>
      <c r="I21" s="9">
        <v>500</v>
      </c>
    </row>
    <row r="22" spans="1:9" x14ac:dyDescent="0.25">
      <c r="A22" t="s">
        <v>191</v>
      </c>
      <c r="B22" t="s">
        <v>46</v>
      </c>
      <c r="C22" s="9">
        <f>12371+10288</f>
        <v>22659</v>
      </c>
      <c r="D22" s="9">
        <v>12713.17</v>
      </c>
      <c r="E22" s="9">
        <f>11099.4+6593.6</f>
        <v>17693</v>
      </c>
      <c r="F22" s="9">
        <v>13587.55</v>
      </c>
      <c r="G22" s="9">
        <f>10670.4+9219.6</f>
        <v>19890</v>
      </c>
      <c r="H22" s="9">
        <v>12608.7</v>
      </c>
      <c r="I22" s="9">
        <f>9952.8+6084</f>
        <v>16036.8</v>
      </c>
    </row>
    <row r="23" spans="1:9" x14ac:dyDescent="0.25">
      <c r="A23" t="s">
        <v>825</v>
      </c>
      <c r="B23" t="s">
        <v>705</v>
      </c>
      <c r="C23" s="9">
        <v>1000</v>
      </c>
      <c r="D23" s="9">
        <v>1824.26</v>
      </c>
      <c r="E23" s="9">
        <v>1000</v>
      </c>
      <c r="F23" s="9">
        <v>2102.2199999999998</v>
      </c>
      <c r="G23" s="9">
        <v>1000</v>
      </c>
      <c r="H23" s="9">
        <v>943.04</v>
      </c>
      <c r="I23" s="9">
        <v>1000</v>
      </c>
    </row>
    <row r="24" spans="1:9" x14ac:dyDescent="0.25">
      <c r="A24" t="s">
        <v>186</v>
      </c>
      <c r="C24" s="9"/>
      <c r="D24" s="9"/>
      <c r="E24" s="9"/>
      <c r="F24" s="9"/>
      <c r="G24" s="9"/>
      <c r="H24" s="9"/>
      <c r="I24" s="9"/>
    </row>
    <row r="25" spans="1:9" x14ac:dyDescent="0.25">
      <c r="A25" t="s">
        <v>187</v>
      </c>
      <c r="B25" t="s">
        <v>188</v>
      </c>
      <c r="C25" s="9">
        <f>0.075*SUM(C20:C23)</f>
        <v>14862.224999999999</v>
      </c>
      <c r="D25" s="9">
        <v>10419.700000000001</v>
      </c>
      <c r="E25" s="9">
        <f>0.075*SUM(E20:E23)</f>
        <v>14182.154999999999</v>
      </c>
      <c r="F25" s="9">
        <v>9024.99</v>
      </c>
      <c r="G25" s="9">
        <f>0.075*SUM(G20:G23)</f>
        <v>12746.393999999998</v>
      </c>
      <c r="H25" s="9">
        <v>9166.82</v>
      </c>
      <c r="I25" s="9">
        <f>0.075*SUM(I20:I23)</f>
        <v>12736.98</v>
      </c>
    </row>
    <row r="26" spans="1:9" x14ac:dyDescent="0.25">
      <c r="A26" t="s">
        <v>99</v>
      </c>
      <c r="B26" t="s">
        <v>80</v>
      </c>
      <c r="C26" s="9">
        <f>0.062*SUM(C20:C23)</f>
        <v>12286.106</v>
      </c>
      <c r="D26" s="9">
        <v>8295.8700000000008</v>
      </c>
      <c r="E26" s="9">
        <f>0.062*SUM(E20:E23)</f>
        <v>11723.914799999999</v>
      </c>
      <c r="F26" s="9">
        <v>7068.63</v>
      </c>
      <c r="G26" s="9">
        <f>0.062*SUM(G20:G23)</f>
        <v>10537.019039999999</v>
      </c>
      <c r="H26" s="9">
        <v>7185.75</v>
      </c>
      <c r="I26" s="9">
        <f>0.062*SUM(I20:I23)</f>
        <v>10529.236799999999</v>
      </c>
    </row>
    <row r="27" spans="1:9" x14ac:dyDescent="0.25">
      <c r="A27" t="s">
        <v>100</v>
      </c>
      <c r="B27" t="s">
        <v>82</v>
      </c>
      <c r="C27" s="9">
        <f>0.0145*SUM(C20:C23)</f>
        <v>2873.3634999999999</v>
      </c>
      <c r="D27" s="49">
        <v>1940.14</v>
      </c>
      <c r="E27" s="9">
        <f>0.0145*SUM(E20:E23)</f>
        <v>2741.8833</v>
      </c>
      <c r="F27" s="9">
        <v>1653.22</v>
      </c>
      <c r="G27" s="9">
        <f>0.0145*SUM(G20:G23)</f>
        <v>2464.3028399999998</v>
      </c>
      <c r="H27" s="9">
        <v>1680.53</v>
      </c>
      <c r="I27" s="9">
        <f>0.0145*SUM(I20:I23)</f>
        <v>2462.4828000000002</v>
      </c>
    </row>
    <row r="28" spans="1:9" x14ac:dyDescent="0.25">
      <c r="A28" t="s">
        <v>181</v>
      </c>
      <c r="C28" s="9"/>
      <c r="D28" s="9"/>
      <c r="E28" s="9"/>
      <c r="F28" s="9"/>
      <c r="G28" s="9"/>
      <c r="H28" s="9"/>
      <c r="I28" s="9"/>
    </row>
    <row r="29" spans="1:9" x14ac:dyDescent="0.25">
      <c r="A29" t="s">
        <v>182</v>
      </c>
      <c r="B29" t="s">
        <v>183</v>
      </c>
      <c r="C29" s="9">
        <f>18000+18000+18000+6570</f>
        <v>60570</v>
      </c>
      <c r="D29" s="9">
        <v>29128.99</v>
      </c>
      <c r="E29" s="9">
        <f>22800+22800+22800+8550</f>
        <v>76950</v>
      </c>
      <c r="F29" s="9">
        <v>25487.27</v>
      </c>
      <c r="G29" s="9">
        <f>11400+11400+11400+4275</f>
        <v>38475</v>
      </c>
      <c r="H29" s="9">
        <v>25965.54</v>
      </c>
      <c r="I29" s="9">
        <f>10800+10800+6750+10800</f>
        <v>39150</v>
      </c>
    </row>
    <row r="30" spans="1:9" x14ac:dyDescent="0.25">
      <c r="A30" t="s">
        <v>184</v>
      </c>
      <c r="B30" t="s">
        <v>185</v>
      </c>
      <c r="C30" s="9">
        <f>1020+1020+1020+372.3</f>
        <v>3432.3</v>
      </c>
      <c r="D30" s="9">
        <v>2300.12</v>
      </c>
      <c r="E30" s="9">
        <f>795+795+795+298</f>
        <v>2683</v>
      </c>
      <c r="F30" s="9">
        <v>2040.92</v>
      </c>
      <c r="G30" s="9">
        <f>765+765+765+291</f>
        <v>2586</v>
      </c>
      <c r="H30" s="9">
        <v>2048.1799999999998</v>
      </c>
      <c r="I30" s="9">
        <f>734.64+734.64+279.49+734.64</f>
        <v>2483.41</v>
      </c>
    </row>
    <row r="31" spans="1:9" x14ac:dyDescent="0.25">
      <c r="A31" s="24" t="s">
        <v>713</v>
      </c>
      <c r="B31" s="24" t="s">
        <v>714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x14ac:dyDescent="0.25">
      <c r="A32" t="s">
        <v>42</v>
      </c>
      <c r="C32" s="9"/>
      <c r="D32" s="9"/>
      <c r="E32" s="9"/>
      <c r="F32" s="9"/>
      <c r="G32" s="9"/>
      <c r="H32" s="9"/>
      <c r="I32" s="9"/>
    </row>
    <row r="33" spans="1:11" x14ac:dyDescent="0.25">
      <c r="A33" t="s">
        <v>179</v>
      </c>
      <c r="B33" t="s">
        <v>180</v>
      </c>
      <c r="C33" s="9">
        <v>1500</v>
      </c>
      <c r="D33" s="9">
        <v>1093</v>
      </c>
      <c r="E33" s="9">
        <v>1500</v>
      </c>
      <c r="F33" s="9">
        <v>1278</v>
      </c>
      <c r="G33" s="9">
        <v>1500</v>
      </c>
      <c r="H33" s="9">
        <v>1434.57</v>
      </c>
      <c r="I33" s="9">
        <v>800</v>
      </c>
    </row>
    <row r="34" spans="1:11" x14ac:dyDescent="0.25">
      <c r="A34" t="s">
        <v>32</v>
      </c>
      <c r="C34" s="9"/>
      <c r="D34" s="9"/>
      <c r="E34" s="9"/>
      <c r="F34" s="9"/>
      <c r="G34" s="9"/>
      <c r="H34" s="9"/>
      <c r="I34" s="9"/>
    </row>
    <row r="35" spans="1:11" x14ac:dyDescent="0.25">
      <c r="A35" t="s">
        <v>40</v>
      </c>
      <c r="B35" t="s">
        <v>41</v>
      </c>
      <c r="C35" s="9">
        <v>2000</v>
      </c>
      <c r="D35" s="9">
        <f>7.66+1490.44</f>
        <v>1498.1000000000001</v>
      </c>
      <c r="E35" s="34">
        <v>1700</v>
      </c>
      <c r="F35" s="9">
        <v>2028.52</v>
      </c>
      <c r="G35" s="9">
        <v>1500</v>
      </c>
      <c r="H35" s="9">
        <v>1686.66</v>
      </c>
      <c r="I35" s="9">
        <v>1500</v>
      </c>
    </row>
    <row r="36" spans="1:11" x14ac:dyDescent="0.25">
      <c r="A36" t="s">
        <v>147</v>
      </c>
      <c r="C36" s="9"/>
      <c r="D36" s="9"/>
      <c r="E36" s="34"/>
      <c r="F36" s="9"/>
      <c r="G36" s="9"/>
      <c r="H36" s="9"/>
      <c r="I36" s="9"/>
      <c r="K36" s="24"/>
    </row>
    <row r="37" spans="1:11" x14ac:dyDescent="0.25">
      <c r="A37" t="s">
        <v>148</v>
      </c>
      <c r="B37" t="s">
        <v>149</v>
      </c>
      <c r="C37" s="9">
        <v>1000</v>
      </c>
      <c r="D37" s="9">
        <v>771.28</v>
      </c>
      <c r="E37" s="34">
        <v>1000</v>
      </c>
      <c r="F37" s="9">
        <v>1155.01</v>
      </c>
      <c r="G37" s="9">
        <v>1000</v>
      </c>
      <c r="H37" s="9">
        <v>987.86</v>
      </c>
      <c r="I37" s="9">
        <v>1000</v>
      </c>
    </row>
    <row r="38" spans="1:11" x14ac:dyDescent="0.25">
      <c r="A38" s="10" t="s">
        <v>509</v>
      </c>
      <c r="B38" t="s">
        <v>516</v>
      </c>
      <c r="C38" s="9">
        <v>1000</v>
      </c>
      <c r="D38" s="9">
        <v>1610.08</v>
      </c>
      <c r="E38" s="34">
        <v>250</v>
      </c>
      <c r="F38" s="9">
        <v>958.76</v>
      </c>
      <c r="G38" s="9">
        <v>0</v>
      </c>
      <c r="H38" s="9">
        <v>48.65</v>
      </c>
      <c r="I38" s="9">
        <v>0</v>
      </c>
    </row>
    <row r="39" spans="1:11" x14ac:dyDescent="0.25">
      <c r="A39" t="s">
        <v>23</v>
      </c>
      <c r="C39" s="9"/>
      <c r="D39" s="9"/>
      <c r="E39" s="34"/>
      <c r="F39" s="9"/>
      <c r="G39" s="9"/>
      <c r="H39" s="9"/>
      <c r="I39" s="9"/>
    </row>
    <row r="40" spans="1:11" x14ac:dyDescent="0.25">
      <c r="A40" s="10" t="s">
        <v>510</v>
      </c>
      <c r="B40" t="s">
        <v>139</v>
      </c>
      <c r="C40" s="9">
        <v>500</v>
      </c>
      <c r="D40" s="9">
        <v>2024.73</v>
      </c>
      <c r="E40" s="34">
        <v>200</v>
      </c>
      <c r="F40" s="9">
        <v>276.75</v>
      </c>
      <c r="G40" s="9">
        <v>400</v>
      </c>
      <c r="H40" s="9">
        <v>47.14</v>
      </c>
      <c r="I40" s="9">
        <v>400</v>
      </c>
    </row>
    <row r="41" spans="1:11" x14ac:dyDescent="0.25">
      <c r="A41" s="10" t="s">
        <v>529</v>
      </c>
      <c r="B41" s="10" t="s">
        <v>530</v>
      </c>
      <c r="C41" s="18">
        <v>200</v>
      </c>
      <c r="D41" s="18">
        <v>0</v>
      </c>
      <c r="E41" s="152">
        <v>200</v>
      </c>
      <c r="F41" s="18">
        <v>204.23</v>
      </c>
      <c r="G41" s="18">
        <v>0</v>
      </c>
      <c r="H41" s="18">
        <v>275</v>
      </c>
      <c r="I41" s="18">
        <v>0</v>
      </c>
    </row>
    <row r="42" spans="1:11" x14ac:dyDescent="0.25">
      <c r="A42" t="s">
        <v>6</v>
      </c>
      <c r="C42" s="9"/>
      <c r="D42" s="9"/>
      <c r="E42" s="34"/>
      <c r="F42" s="9"/>
      <c r="G42" s="9"/>
      <c r="H42" s="9"/>
      <c r="I42" s="9"/>
    </row>
    <row r="43" spans="1:11" x14ac:dyDescent="0.25">
      <c r="A43" t="s">
        <v>7</v>
      </c>
      <c r="B43" t="s">
        <v>8</v>
      </c>
      <c r="C43" s="9">
        <v>18600</v>
      </c>
      <c r="D43" s="9">
        <v>14000</v>
      </c>
      <c r="E43" s="34">
        <v>18600</v>
      </c>
      <c r="F43" s="9">
        <v>22350</v>
      </c>
      <c r="G43" s="9">
        <v>18600</v>
      </c>
      <c r="H43" s="9">
        <v>18580</v>
      </c>
      <c r="I43" s="9">
        <v>16200</v>
      </c>
    </row>
    <row r="44" spans="1:11" x14ac:dyDescent="0.25">
      <c r="A44" t="s">
        <v>9</v>
      </c>
      <c r="B44" t="s">
        <v>10</v>
      </c>
      <c r="C44" s="9">
        <v>1000</v>
      </c>
      <c r="D44" s="9">
        <v>2365.6</v>
      </c>
      <c r="E44" s="34">
        <v>1000</v>
      </c>
      <c r="F44" s="9">
        <v>3595.84</v>
      </c>
      <c r="G44" s="9">
        <v>1000</v>
      </c>
      <c r="H44" s="9">
        <v>547.29</v>
      </c>
      <c r="I44" s="9">
        <v>0</v>
      </c>
    </row>
    <row r="45" spans="1:11" x14ac:dyDescent="0.25">
      <c r="A45" t="s">
        <v>11</v>
      </c>
      <c r="B45" t="s">
        <v>12</v>
      </c>
      <c r="C45" s="9">
        <v>5000</v>
      </c>
      <c r="D45" s="9">
        <v>2029.5</v>
      </c>
      <c r="E45" s="34">
        <v>10000</v>
      </c>
      <c r="F45" s="9">
        <v>4224.25</v>
      </c>
      <c r="G45" s="9">
        <v>11000</v>
      </c>
      <c r="H45" s="9">
        <v>9282.65</v>
      </c>
      <c r="I45" s="9">
        <v>11000</v>
      </c>
    </row>
    <row r="46" spans="1:11" x14ac:dyDescent="0.25">
      <c r="A46" t="s">
        <v>13</v>
      </c>
      <c r="B46" t="s">
        <v>14</v>
      </c>
      <c r="C46" s="9">
        <v>1000</v>
      </c>
      <c r="D46" s="9">
        <v>3172.98</v>
      </c>
      <c r="E46" s="34">
        <v>1000</v>
      </c>
      <c r="F46" s="9">
        <v>904</v>
      </c>
      <c r="G46" s="9">
        <v>1000</v>
      </c>
      <c r="H46" s="9">
        <v>1014</v>
      </c>
      <c r="I46" s="9">
        <v>1000</v>
      </c>
    </row>
    <row r="47" spans="1:11" x14ac:dyDescent="0.25">
      <c r="A47" t="s">
        <v>16</v>
      </c>
      <c r="B47" t="s">
        <v>874</v>
      </c>
      <c r="C47" s="9">
        <v>2500</v>
      </c>
      <c r="D47" s="9">
        <v>3902.04</v>
      </c>
      <c r="E47" s="34">
        <v>7500</v>
      </c>
      <c r="F47" s="9">
        <v>9568.08</v>
      </c>
      <c r="G47" s="9">
        <v>3000</v>
      </c>
      <c r="H47" s="9">
        <v>-3915.5</v>
      </c>
      <c r="I47" s="9">
        <v>3000</v>
      </c>
    </row>
    <row r="48" spans="1:11" x14ac:dyDescent="0.25">
      <c r="A48" t="s">
        <v>5</v>
      </c>
      <c r="C48" s="9"/>
      <c r="D48" s="9"/>
      <c r="E48" s="34"/>
      <c r="F48" s="9"/>
      <c r="G48" s="9"/>
      <c r="H48" s="9"/>
      <c r="I48" s="9"/>
    </row>
    <row r="49" spans="1:9" x14ac:dyDescent="0.25">
      <c r="A49" t="s">
        <v>101</v>
      </c>
      <c r="B49" t="s">
        <v>87</v>
      </c>
      <c r="C49" s="9">
        <v>4500</v>
      </c>
      <c r="D49" s="9">
        <v>3824.97</v>
      </c>
      <c r="E49" s="34">
        <v>4500</v>
      </c>
      <c r="F49" s="9">
        <v>4359.99</v>
      </c>
      <c r="G49" s="9">
        <v>4000</v>
      </c>
      <c r="H49" s="9">
        <v>4743.34</v>
      </c>
      <c r="I49" s="9">
        <v>4000</v>
      </c>
    </row>
    <row r="50" spans="1:9" x14ac:dyDescent="0.25">
      <c r="A50" t="s">
        <v>134</v>
      </c>
      <c r="C50" s="9"/>
      <c r="D50" s="9"/>
      <c r="E50" s="34"/>
      <c r="F50" s="9"/>
      <c r="G50" s="9"/>
      <c r="H50" s="9"/>
      <c r="I50" s="9"/>
    </row>
    <row r="51" spans="1:9" x14ac:dyDescent="0.25">
      <c r="A51" t="s">
        <v>489</v>
      </c>
      <c r="B51" t="s">
        <v>135</v>
      </c>
      <c r="C51" s="9">
        <v>1500</v>
      </c>
      <c r="D51" s="9">
        <v>365.6</v>
      </c>
      <c r="E51" s="34">
        <v>1500</v>
      </c>
      <c r="F51" s="9">
        <v>1244.4000000000001</v>
      </c>
      <c r="G51" s="9">
        <v>1500</v>
      </c>
      <c r="H51" s="9">
        <v>1397.3</v>
      </c>
      <c r="I51" s="9">
        <v>1500</v>
      </c>
    </row>
    <row r="52" spans="1:9" x14ac:dyDescent="0.25">
      <c r="A52" t="s">
        <v>132</v>
      </c>
      <c r="C52" s="9"/>
      <c r="D52" s="9"/>
      <c r="E52" s="34"/>
      <c r="F52" s="9"/>
      <c r="G52" s="9"/>
      <c r="H52" s="9"/>
      <c r="I52" s="9"/>
    </row>
    <row r="53" spans="1:9" x14ac:dyDescent="0.25">
      <c r="A53" t="s">
        <v>131</v>
      </c>
      <c r="B53" t="s">
        <v>133</v>
      </c>
      <c r="C53" s="9">
        <v>1000</v>
      </c>
      <c r="D53" s="9">
        <v>881.29</v>
      </c>
      <c r="E53" s="34">
        <v>1000</v>
      </c>
      <c r="F53" s="9">
        <v>792.45</v>
      </c>
      <c r="G53" s="9">
        <v>1000</v>
      </c>
      <c r="H53" s="9">
        <v>1058</v>
      </c>
      <c r="I53" s="9">
        <v>1000</v>
      </c>
    </row>
    <row r="54" spans="1:9" x14ac:dyDescent="0.25">
      <c r="A54" t="s">
        <v>126</v>
      </c>
      <c r="C54" s="9"/>
      <c r="D54" s="9"/>
      <c r="E54" s="34"/>
      <c r="F54" s="9"/>
      <c r="G54" s="9"/>
      <c r="H54" s="9"/>
      <c r="I54" s="9"/>
    </row>
    <row r="55" spans="1:9" x14ac:dyDescent="0.25">
      <c r="A55" t="s">
        <v>102</v>
      </c>
      <c r="B55" t="s">
        <v>84</v>
      </c>
      <c r="C55" s="9">
        <v>19000</v>
      </c>
      <c r="D55" s="9">
        <v>19129.75</v>
      </c>
      <c r="E55" s="34">
        <v>16000</v>
      </c>
      <c r="F55" s="9">
        <v>13347.25</v>
      </c>
      <c r="G55" s="9">
        <v>15000</v>
      </c>
      <c r="H55" s="9">
        <v>14739</v>
      </c>
      <c r="I55" s="9">
        <v>18000</v>
      </c>
    </row>
    <row r="56" spans="1:9" x14ac:dyDescent="0.25">
      <c r="A56" t="s">
        <v>127</v>
      </c>
      <c r="B56" t="s">
        <v>128</v>
      </c>
      <c r="C56" s="9">
        <v>43000</v>
      </c>
      <c r="D56" s="9">
        <f>43223.5+73</f>
        <v>43296.5</v>
      </c>
      <c r="E56" s="34">
        <v>38000</v>
      </c>
      <c r="F56" s="9">
        <f>32089+11+66</f>
        <v>32166</v>
      </c>
      <c r="G56" s="9">
        <v>33000</v>
      </c>
      <c r="H56" s="9">
        <f>32475+65</f>
        <v>32540</v>
      </c>
      <c r="I56" s="9">
        <v>22000</v>
      </c>
    </row>
    <row r="57" spans="1:9" x14ac:dyDescent="0.25">
      <c r="A57" s="24" t="s">
        <v>1262</v>
      </c>
      <c r="B57" s="24" t="s">
        <v>905</v>
      </c>
      <c r="C57" s="49">
        <v>0</v>
      </c>
      <c r="D57" s="9">
        <v>1668</v>
      </c>
      <c r="E57" s="34">
        <v>0</v>
      </c>
      <c r="F57" s="9">
        <v>0</v>
      </c>
      <c r="G57" s="9">
        <v>0</v>
      </c>
      <c r="H57" s="9">
        <v>0</v>
      </c>
      <c r="I57" s="9">
        <v>0</v>
      </c>
    </row>
    <row r="58" spans="1:9" x14ac:dyDescent="0.25">
      <c r="A58" t="s">
        <v>119</v>
      </c>
      <c r="C58" s="9"/>
      <c r="D58" s="9"/>
      <c r="E58" s="9"/>
      <c r="F58" s="9"/>
      <c r="G58" s="9"/>
      <c r="H58" s="9"/>
      <c r="I58" s="9"/>
    </row>
    <row r="59" spans="1:9" x14ac:dyDescent="0.25">
      <c r="A59" t="s">
        <v>125</v>
      </c>
      <c r="B59" t="s">
        <v>120</v>
      </c>
      <c r="C59" s="9">
        <v>2000</v>
      </c>
      <c r="D59" s="9">
        <v>1682.27</v>
      </c>
      <c r="E59" s="9">
        <v>2000</v>
      </c>
      <c r="F59" s="9">
        <f>2254.14+17.71</f>
        <v>2271.85</v>
      </c>
      <c r="G59" s="9">
        <v>2000</v>
      </c>
      <c r="H59" s="9">
        <v>2137.63</v>
      </c>
      <c r="I59" s="9">
        <v>2000</v>
      </c>
    </row>
    <row r="60" spans="1:9" x14ac:dyDescent="0.25">
      <c r="A60" s="10" t="s">
        <v>511</v>
      </c>
      <c r="B60" s="10" t="s">
        <v>123</v>
      </c>
      <c r="C60" s="18">
        <v>1500</v>
      </c>
      <c r="D60" s="18">
        <v>1022.54</v>
      </c>
      <c r="E60" s="18">
        <v>1500</v>
      </c>
      <c r="F60" s="18">
        <v>1179.3499999999999</v>
      </c>
      <c r="G60" s="18">
        <v>1500</v>
      </c>
      <c r="H60" s="18">
        <v>1159.48</v>
      </c>
      <c r="I60" s="18">
        <v>1500</v>
      </c>
    </row>
    <row r="61" spans="1:9" x14ac:dyDescent="0.25">
      <c r="A61" t="s">
        <v>492</v>
      </c>
      <c r="C61" s="9"/>
      <c r="D61" s="9"/>
      <c r="E61" s="9"/>
      <c r="F61" s="9"/>
      <c r="G61" s="9"/>
      <c r="H61" s="9"/>
      <c r="I61" s="9"/>
    </row>
    <row r="62" spans="1:9" x14ac:dyDescent="0.25">
      <c r="A62" s="24" t="s">
        <v>1244</v>
      </c>
      <c r="B62" s="24" t="s">
        <v>1178</v>
      </c>
      <c r="C62" s="49">
        <v>0</v>
      </c>
      <c r="D62" s="49">
        <v>0</v>
      </c>
      <c r="E62" s="9">
        <v>0</v>
      </c>
      <c r="F62" s="9">
        <v>80704.08</v>
      </c>
      <c r="G62" s="9">
        <v>0</v>
      </c>
      <c r="H62" s="9">
        <v>0</v>
      </c>
      <c r="I62" s="9">
        <v>0</v>
      </c>
    </row>
    <row r="63" spans="1:9" x14ac:dyDescent="0.25">
      <c r="A63" s="10" t="s">
        <v>512</v>
      </c>
      <c r="B63" s="10" t="s">
        <v>513</v>
      </c>
      <c r="C63" s="18">
        <v>0</v>
      </c>
      <c r="D63" s="18">
        <v>492.69</v>
      </c>
      <c r="E63" s="18">
        <v>0</v>
      </c>
      <c r="F63" s="18">
        <v>5685</v>
      </c>
      <c r="G63" s="18">
        <v>0</v>
      </c>
      <c r="H63" s="18">
        <v>3281.74</v>
      </c>
      <c r="I63" s="18">
        <v>2000</v>
      </c>
    </row>
    <row r="64" spans="1:9" x14ac:dyDescent="0.25">
      <c r="A64" t="s">
        <v>114</v>
      </c>
      <c r="C64" s="9"/>
      <c r="D64" s="9"/>
      <c r="E64" s="9"/>
      <c r="F64" s="9"/>
      <c r="G64" s="9"/>
      <c r="H64" s="9"/>
      <c r="I64" s="9"/>
    </row>
    <row r="65" spans="1:9" x14ac:dyDescent="0.25">
      <c r="A65" s="10" t="s">
        <v>514</v>
      </c>
      <c r="B65" t="s">
        <v>115</v>
      </c>
      <c r="C65" s="9">
        <v>10000</v>
      </c>
      <c r="D65" s="9">
        <v>42.56</v>
      </c>
      <c r="E65" s="9">
        <v>10000</v>
      </c>
      <c r="F65" s="9">
        <v>5075</v>
      </c>
      <c r="G65" s="9">
        <v>10000</v>
      </c>
      <c r="H65" s="9">
        <v>34.1</v>
      </c>
      <c r="I65" s="9">
        <v>2000</v>
      </c>
    </row>
    <row r="66" spans="1:9" x14ac:dyDescent="0.25">
      <c r="A66" t="s">
        <v>105</v>
      </c>
      <c r="C66" s="9"/>
      <c r="D66" s="9"/>
      <c r="E66" s="9"/>
      <c r="F66" s="9"/>
      <c r="G66" s="9"/>
      <c r="H66" s="9"/>
      <c r="I66" s="9"/>
    </row>
    <row r="67" spans="1:9" x14ac:dyDescent="0.25">
      <c r="A67" t="s">
        <v>103</v>
      </c>
      <c r="B67" t="s">
        <v>91</v>
      </c>
      <c r="C67" s="9">
        <v>3000</v>
      </c>
      <c r="D67" s="9">
        <f>2805.45+3.45</f>
        <v>2808.8999999999996</v>
      </c>
      <c r="E67" s="9">
        <v>3000</v>
      </c>
      <c r="F67" s="9">
        <v>2830.54</v>
      </c>
      <c r="G67" s="9">
        <v>3000</v>
      </c>
      <c r="H67" s="9">
        <v>2584.46</v>
      </c>
      <c r="I67" s="9">
        <v>3000</v>
      </c>
    </row>
    <row r="68" spans="1:9" x14ac:dyDescent="0.25">
      <c r="A68" t="s">
        <v>104</v>
      </c>
      <c r="B68" t="s">
        <v>89</v>
      </c>
      <c r="C68" s="9">
        <v>2500</v>
      </c>
      <c r="D68" s="9">
        <v>537.88</v>
      </c>
      <c r="E68" s="9">
        <v>2500</v>
      </c>
      <c r="F68" s="9">
        <v>2525.91</v>
      </c>
      <c r="G68" s="9">
        <v>2500</v>
      </c>
      <c r="H68" s="9">
        <f>2707.44+12.99</f>
        <v>2720.43</v>
      </c>
      <c r="I68" s="9">
        <v>1000</v>
      </c>
    </row>
    <row r="69" spans="1:9" x14ac:dyDescent="0.25">
      <c r="B69" s="26"/>
      <c r="C69" s="97"/>
      <c r="D69" s="97"/>
      <c r="E69" s="97"/>
      <c r="F69" s="97"/>
      <c r="G69" s="97"/>
      <c r="H69" s="97"/>
      <c r="I69" s="97"/>
    </row>
    <row r="70" spans="1:9" x14ac:dyDescent="0.25">
      <c r="C70" s="9"/>
      <c r="D70" s="9"/>
      <c r="E70" s="9"/>
      <c r="F70" s="9"/>
      <c r="G70" s="9"/>
      <c r="H70" s="9"/>
      <c r="I70" s="9"/>
    </row>
    <row r="71" spans="1:9" x14ac:dyDescent="0.25">
      <c r="B71" s="22" t="s">
        <v>57</v>
      </c>
      <c r="C71" s="21">
        <f>SUM(C20:C68)</f>
        <v>414486.99449999997</v>
      </c>
      <c r="D71" s="21">
        <f>SUM(D20:D68)</f>
        <v>298857.90000000008</v>
      </c>
      <c r="E71" s="21">
        <f>SUM(E20:E68)</f>
        <v>420326.35309999995</v>
      </c>
      <c r="F71" s="21">
        <f>SUM(F20:F69)</f>
        <v>371368.51999999996</v>
      </c>
      <c r="G71" s="21">
        <f>SUM(G20:G68)</f>
        <v>349260.63587999996</v>
      </c>
      <c r="H71" s="21">
        <f>SUM(H20:H68)</f>
        <v>269019.95</v>
      </c>
      <c r="I71" s="21">
        <f>SUM(I20:I70)</f>
        <v>330088.50959999999</v>
      </c>
    </row>
    <row r="72" spans="1:9" x14ac:dyDescent="0.25">
      <c r="A72" s="10"/>
    </row>
    <row r="74" spans="1:9" x14ac:dyDescent="0.25">
      <c r="A74" t="s">
        <v>761</v>
      </c>
    </row>
    <row r="75" spans="1:9" x14ac:dyDescent="0.25">
      <c r="A75" t="s">
        <v>762</v>
      </c>
    </row>
    <row r="76" spans="1:9" x14ac:dyDescent="0.25">
      <c r="A76" s="24" t="s">
        <v>1006</v>
      </c>
    </row>
    <row r="77" spans="1:9" x14ac:dyDescent="0.25">
      <c r="A77" s="24"/>
    </row>
    <row r="78" spans="1:9" x14ac:dyDescent="0.25">
      <c r="A78" s="110">
        <v>2020</v>
      </c>
    </row>
    <row r="79" spans="1:9" x14ac:dyDescent="0.25">
      <c r="A79" s="24" t="s">
        <v>1202</v>
      </c>
      <c r="B79" s="139">
        <v>10000</v>
      </c>
      <c r="C79" s="139"/>
      <c r="D79" s="139"/>
    </row>
    <row r="80" spans="1:9" x14ac:dyDescent="0.25">
      <c r="A80" s="24"/>
    </row>
    <row r="81" spans="1:1" x14ac:dyDescent="0.25">
      <c r="A81" s="110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"/>
  <sheetViews>
    <sheetView workbookViewId="0">
      <selection activeCell="E3" sqref="E3"/>
    </sheetView>
  </sheetViews>
  <sheetFormatPr defaultRowHeight="13.2" x14ac:dyDescent="0.25"/>
  <cols>
    <col min="1" max="1" width="32.33203125" customWidth="1"/>
    <col min="2" max="2" width="28.109375" bestFit="1" customWidth="1"/>
    <col min="3" max="3" width="1.44140625" customWidth="1"/>
    <col min="4" max="6" width="11.6640625" customWidth="1"/>
  </cols>
  <sheetData>
    <row r="1" spans="1:6" ht="15.6" x14ac:dyDescent="0.3">
      <c r="B1" s="11" t="s">
        <v>1316</v>
      </c>
      <c r="C1" s="11"/>
      <c r="D1" s="1">
        <v>2021</v>
      </c>
      <c r="E1" s="1">
        <v>2020</v>
      </c>
      <c r="F1" s="36">
        <v>2020</v>
      </c>
    </row>
    <row r="2" spans="1:6" x14ac:dyDescent="0.25">
      <c r="D2" s="1" t="s">
        <v>501</v>
      </c>
      <c r="E2" s="1" t="s">
        <v>1370</v>
      </c>
      <c r="F2" s="36" t="s">
        <v>501</v>
      </c>
    </row>
    <row r="3" spans="1:6" x14ac:dyDescent="0.25">
      <c r="A3" t="s">
        <v>76</v>
      </c>
      <c r="E3" s="1"/>
      <c r="F3" s="36"/>
    </row>
    <row r="4" spans="1:6" x14ac:dyDescent="0.25">
      <c r="A4" t="s">
        <v>1317</v>
      </c>
      <c r="B4" t="s">
        <v>661</v>
      </c>
      <c r="D4" s="9">
        <v>0</v>
      </c>
      <c r="E4" s="98">
        <v>97264</v>
      </c>
      <c r="F4" s="98">
        <v>0</v>
      </c>
    </row>
    <row r="5" spans="1:6" x14ac:dyDescent="0.25">
      <c r="D5" s="9"/>
      <c r="E5" s="98"/>
      <c r="F5" s="98"/>
    </row>
    <row r="6" spans="1:6" x14ac:dyDescent="0.25">
      <c r="B6" s="26" t="s">
        <v>57</v>
      </c>
      <c r="D6" s="9">
        <v>0</v>
      </c>
      <c r="E6" s="98">
        <f>E4</f>
        <v>97264</v>
      </c>
      <c r="F6" s="98">
        <v>0</v>
      </c>
    </row>
    <row r="7" spans="1:6" x14ac:dyDescent="0.25">
      <c r="D7" s="9"/>
      <c r="E7" s="1"/>
      <c r="F7" s="1"/>
    </row>
    <row r="8" spans="1:6" x14ac:dyDescent="0.25">
      <c r="A8" t="s">
        <v>77</v>
      </c>
      <c r="D8" s="9"/>
      <c r="E8" s="1"/>
      <c r="F8" s="1"/>
    </row>
    <row r="9" spans="1:6" x14ac:dyDescent="0.25">
      <c r="A9" t="s">
        <v>190</v>
      </c>
      <c r="D9" s="9"/>
      <c r="F9" s="14"/>
    </row>
    <row r="10" spans="1:6" x14ac:dyDescent="0.25">
      <c r="A10" t="s">
        <v>1318</v>
      </c>
      <c r="B10" t="s">
        <v>1320</v>
      </c>
      <c r="D10" s="9">
        <v>0</v>
      </c>
      <c r="E10" s="9">
        <v>1437.04</v>
      </c>
      <c r="F10" s="136">
        <v>0</v>
      </c>
    </row>
    <row r="11" spans="1:6" x14ac:dyDescent="0.25">
      <c r="A11" t="s">
        <v>1319</v>
      </c>
      <c r="B11" t="s">
        <v>1321</v>
      </c>
      <c r="D11" s="9">
        <v>0</v>
      </c>
      <c r="E11" s="9">
        <v>261.33999999999997</v>
      </c>
      <c r="F11" s="136">
        <v>0</v>
      </c>
    </row>
    <row r="12" spans="1:6" x14ac:dyDescent="0.25">
      <c r="A12" t="s">
        <v>1324</v>
      </c>
      <c r="D12" s="9"/>
      <c r="E12" s="9"/>
      <c r="F12" s="136"/>
    </row>
    <row r="13" spans="1:6" x14ac:dyDescent="0.25">
      <c r="A13" t="s">
        <v>1322</v>
      </c>
      <c r="B13" t="s">
        <v>1323</v>
      </c>
      <c r="D13" s="9">
        <v>0</v>
      </c>
      <c r="E13" s="9">
        <v>825.6</v>
      </c>
      <c r="F13" s="136">
        <v>0</v>
      </c>
    </row>
    <row r="14" spans="1:6" x14ac:dyDescent="0.25">
      <c r="A14" t="s">
        <v>32</v>
      </c>
      <c r="D14" s="9"/>
      <c r="E14" s="9"/>
      <c r="F14" s="136"/>
    </row>
    <row r="15" spans="1:6" x14ac:dyDescent="0.25">
      <c r="A15" t="s">
        <v>1325</v>
      </c>
      <c r="B15" t="s">
        <v>41</v>
      </c>
      <c r="D15" s="9">
        <v>0</v>
      </c>
      <c r="E15" s="9">
        <v>1949.44</v>
      </c>
      <c r="F15" s="136">
        <v>0</v>
      </c>
    </row>
    <row r="16" spans="1:6" x14ac:dyDescent="0.25">
      <c r="A16" t="s">
        <v>147</v>
      </c>
      <c r="D16" s="9"/>
      <c r="E16" s="9"/>
      <c r="F16" s="136"/>
    </row>
    <row r="17" spans="1:6" x14ac:dyDescent="0.25">
      <c r="A17" t="s">
        <v>1326</v>
      </c>
      <c r="B17" t="s">
        <v>149</v>
      </c>
      <c r="D17" s="9">
        <v>0</v>
      </c>
      <c r="E17" s="9">
        <v>3323.33</v>
      </c>
      <c r="F17" s="136">
        <v>0</v>
      </c>
    </row>
    <row r="18" spans="1:6" x14ac:dyDescent="0.25">
      <c r="A18" t="s">
        <v>23</v>
      </c>
      <c r="D18" s="9"/>
      <c r="E18" s="9"/>
      <c r="F18" s="136"/>
    </row>
    <row r="19" spans="1:6" x14ac:dyDescent="0.25">
      <c r="A19" s="24" t="s">
        <v>1327</v>
      </c>
      <c r="B19" s="10" t="s">
        <v>530</v>
      </c>
      <c r="D19" s="9">
        <v>0</v>
      </c>
      <c r="E19" s="9">
        <v>383.37</v>
      </c>
      <c r="F19" s="136">
        <v>0</v>
      </c>
    </row>
    <row r="20" spans="1:6" x14ac:dyDescent="0.25">
      <c r="A20" t="s">
        <v>6</v>
      </c>
      <c r="D20" s="9"/>
      <c r="E20" s="9"/>
      <c r="F20" s="136"/>
    </row>
    <row r="21" spans="1:6" x14ac:dyDescent="0.25">
      <c r="A21" t="s">
        <v>1328</v>
      </c>
      <c r="B21" t="s">
        <v>1005</v>
      </c>
      <c r="D21" s="9">
        <v>0</v>
      </c>
      <c r="E21" s="9">
        <v>10680.12</v>
      </c>
      <c r="F21" s="136">
        <v>0</v>
      </c>
    </row>
    <row r="22" spans="1:6" x14ac:dyDescent="0.25">
      <c r="A22" s="24" t="s">
        <v>1371</v>
      </c>
      <c r="B22" s="24"/>
      <c r="C22" s="24"/>
      <c r="D22" s="49"/>
      <c r="E22" s="49"/>
      <c r="F22" s="98"/>
    </row>
    <row r="23" spans="1:6" x14ac:dyDescent="0.25">
      <c r="A23" s="24" t="s">
        <v>1372</v>
      </c>
      <c r="B23" s="24" t="s">
        <v>626</v>
      </c>
      <c r="C23" s="24"/>
      <c r="D23" s="49">
        <v>0</v>
      </c>
      <c r="E23" s="49">
        <v>14690.44</v>
      </c>
      <c r="F23" s="98">
        <v>0</v>
      </c>
    </row>
    <row r="24" spans="1:6" x14ac:dyDescent="0.25">
      <c r="A24" s="24" t="s">
        <v>1373</v>
      </c>
      <c r="B24" s="24"/>
      <c r="C24" s="24"/>
      <c r="D24" s="49"/>
      <c r="E24" s="49"/>
      <c r="F24" s="98"/>
    </row>
    <row r="25" spans="1:6" x14ac:dyDescent="0.25">
      <c r="A25" s="24" t="s">
        <v>1374</v>
      </c>
      <c r="B25" s="24" t="s">
        <v>116</v>
      </c>
      <c r="C25" s="24"/>
      <c r="D25" s="49">
        <v>0</v>
      </c>
      <c r="E25" s="49">
        <v>26852.71</v>
      </c>
      <c r="F25" s="98">
        <v>0</v>
      </c>
    </row>
    <row r="26" spans="1:6" x14ac:dyDescent="0.25">
      <c r="A26" s="25"/>
      <c r="D26" s="9"/>
      <c r="E26" s="9"/>
      <c r="F26" s="136"/>
    </row>
    <row r="27" spans="1:6" x14ac:dyDescent="0.25">
      <c r="B27" t="s">
        <v>740</v>
      </c>
      <c r="D27" s="9">
        <f>SUM(D10:D21)</f>
        <v>0</v>
      </c>
      <c r="E27" s="9">
        <f>SUM(E10:E25)</f>
        <v>60403.39</v>
      </c>
      <c r="F27" s="136">
        <f>SUM(F10:F22)</f>
        <v>0</v>
      </c>
    </row>
    <row r="28" spans="1:6" x14ac:dyDescent="0.25">
      <c r="D28" s="9"/>
      <c r="E28" s="9"/>
      <c r="F28" s="136"/>
    </row>
    <row r="29" spans="1:6" x14ac:dyDescent="0.25">
      <c r="A29" s="24"/>
      <c r="D29" s="9"/>
      <c r="E29" s="9"/>
      <c r="F29" s="136"/>
    </row>
    <row r="30" spans="1:6" x14ac:dyDescent="0.25">
      <c r="A30" s="25"/>
      <c r="D30" s="9"/>
      <c r="E30" s="9"/>
      <c r="F30" s="136"/>
    </row>
    <row r="31" spans="1:6" x14ac:dyDescent="0.25">
      <c r="D31" s="9"/>
      <c r="E31" s="9"/>
      <c r="F31" s="136"/>
    </row>
  </sheetData>
  <pageMargins left="0.7" right="0.7" top="0.75" bottom="0.75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86"/>
  <sheetViews>
    <sheetView tabSelected="1" topLeftCell="A3" workbookViewId="0">
      <selection activeCell="B45" sqref="B45:B46"/>
    </sheetView>
  </sheetViews>
  <sheetFormatPr defaultRowHeight="13.2" x14ac:dyDescent="0.25"/>
  <cols>
    <col min="1" max="1" width="18.33203125" customWidth="1"/>
    <col min="2" max="2" width="32.44140625" bestFit="1" customWidth="1"/>
    <col min="3" max="5" width="11.6640625" customWidth="1"/>
    <col min="6" max="6" width="11.88671875" customWidth="1"/>
    <col min="7" max="9" width="11.6640625" customWidth="1"/>
    <col min="11" max="11" width="11.6640625" customWidth="1"/>
    <col min="12" max="12" width="9.6640625" bestFit="1" customWidth="1"/>
  </cols>
  <sheetData>
    <row r="3" spans="1:11" ht="15.6" x14ac:dyDescent="0.3">
      <c r="B3" s="11" t="s">
        <v>0</v>
      </c>
      <c r="C3" s="1">
        <v>2021</v>
      </c>
      <c r="D3" s="1">
        <v>2020</v>
      </c>
      <c r="E3" s="36">
        <v>2020</v>
      </c>
      <c r="F3" s="36">
        <v>2019</v>
      </c>
      <c r="G3" s="36">
        <v>2019</v>
      </c>
      <c r="H3" s="36">
        <v>2018</v>
      </c>
      <c r="I3" s="36">
        <v>2018</v>
      </c>
      <c r="K3" s="1"/>
    </row>
    <row r="4" spans="1:11" ht="15.6" x14ac:dyDescent="0.3">
      <c r="B4" s="11"/>
      <c r="C4" s="1" t="s">
        <v>501</v>
      </c>
      <c r="D4" s="1" t="s">
        <v>1370</v>
      </c>
      <c r="E4" s="36" t="s">
        <v>501</v>
      </c>
      <c r="F4" s="36" t="s">
        <v>794</v>
      </c>
      <c r="G4" s="36" t="s">
        <v>501</v>
      </c>
      <c r="H4" s="36" t="s">
        <v>794</v>
      </c>
      <c r="I4" s="36" t="s">
        <v>501</v>
      </c>
      <c r="K4" s="1"/>
    </row>
    <row r="5" spans="1:11" ht="15.6" x14ac:dyDescent="0.3">
      <c r="B5" s="11"/>
      <c r="C5" s="11"/>
      <c r="D5" s="11"/>
      <c r="E5" s="11"/>
      <c r="F5" s="11"/>
      <c r="G5" s="11"/>
      <c r="H5" s="11"/>
      <c r="I5" s="11"/>
      <c r="K5" s="11"/>
    </row>
    <row r="6" spans="1:11" ht="15.6" x14ac:dyDescent="0.3">
      <c r="A6" s="24" t="s">
        <v>76</v>
      </c>
      <c r="B6" s="11"/>
      <c r="C6" s="11"/>
      <c r="D6" s="11"/>
      <c r="E6" s="11"/>
      <c r="F6" s="11"/>
      <c r="G6" s="11"/>
      <c r="H6" s="11"/>
      <c r="I6" s="11"/>
      <c r="K6" s="11"/>
    </row>
    <row r="7" spans="1:11" x14ac:dyDescent="0.25">
      <c r="A7" s="24" t="s">
        <v>1245</v>
      </c>
      <c r="B7" s="24" t="s">
        <v>971</v>
      </c>
      <c r="C7" s="49">
        <v>18000</v>
      </c>
      <c r="D7" s="49">
        <v>14176.56</v>
      </c>
      <c r="E7" s="35">
        <v>18000</v>
      </c>
      <c r="F7" s="49">
        <v>18319.07</v>
      </c>
      <c r="G7" s="49">
        <v>15000</v>
      </c>
      <c r="H7" s="49">
        <v>14500.16</v>
      </c>
      <c r="I7" s="49">
        <v>15000</v>
      </c>
      <c r="K7" s="49"/>
    </row>
    <row r="8" spans="1:11" x14ac:dyDescent="0.25">
      <c r="A8" s="24" t="s">
        <v>962</v>
      </c>
      <c r="B8" s="24" t="s">
        <v>467</v>
      </c>
      <c r="C8" s="49">
        <v>1200</v>
      </c>
      <c r="D8" s="49">
        <v>1264</v>
      </c>
      <c r="E8" s="35">
        <v>1200</v>
      </c>
      <c r="F8" s="49">
        <v>1338</v>
      </c>
      <c r="G8" s="49">
        <v>1000</v>
      </c>
      <c r="H8" s="49">
        <v>1402</v>
      </c>
      <c r="I8" s="49">
        <v>1000</v>
      </c>
      <c r="K8" s="49"/>
    </row>
    <row r="9" spans="1:11" x14ac:dyDescent="0.25">
      <c r="A9" s="24" t="s">
        <v>963</v>
      </c>
      <c r="B9" s="24" t="s">
        <v>964</v>
      </c>
      <c r="C9" s="49">
        <v>625</v>
      </c>
      <c r="D9" s="49">
        <v>1564.55</v>
      </c>
      <c r="E9" s="49">
        <v>625</v>
      </c>
      <c r="F9" s="49">
        <v>870.99</v>
      </c>
      <c r="G9" s="49">
        <v>625</v>
      </c>
      <c r="H9" s="49">
        <v>1914.01</v>
      </c>
      <c r="I9" s="49">
        <v>625</v>
      </c>
      <c r="K9" s="49"/>
    </row>
    <row r="10" spans="1:11" x14ac:dyDescent="0.25">
      <c r="A10" s="24" t="s">
        <v>965</v>
      </c>
      <c r="B10" s="24" t="s">
        <v>472</v>
      </c>
      <c r="C10" s="49">
        <v>6000</v>
      </c>
      <c r="D10" s="49">
        <v>4476.4399999999996</v>
      </c>
      <c r="E10" s="49">
        <v>6000</v>
      </c>
      <c r="F10" s="49">
        <v>5736.08</v>
      </c>
      <c r="G10" s="49">
        <v>6000</v>
      </c>
      <c r="H10" s="49">
        <v>5727.62</v>
      </c>
      <c r="I10" s="49">
        <v>6000</v>
      </c>
      <c r="K10" s="49"/>
    </row>
    <row r="11" spans="1:11" x14ac:dyDescent="0.25">
      <c r="A11" s="24" t="s">
        <v>966</v>
      </c>
      <c r="B11" s="24" t="s">
        <v>781</v>
      </c>
      <c r="C11" s="49">
        <v>2500</v>
      </c>
      <c r="D11" s="49">
        <v>2910</v>
      </c>
      <c r="E11" s="49">
        <v>2500</v>
      </c>
      <c r="F11" s="49">
        <v>2450</v>
      </c>
      <c r="G11" s="49">
        <v>2500</v>
      </c>
      <c r="H11" s="49">
        <f>75+2856</f>
        <v>2931</v>
      </c>
      <c r="I11" s="49">
        <v>2000</v>
      </c>
      <c r="K11" s="49"/>
    </row>
    <row r="12" spans="1:11" x14ac:dyDescent="0.25">
      <c r="A12" s="24" t="s">
        <v>967</v>
      </c>
      <c r="B12" s="24" t="s">
        <v>858</v>
      </c>
      <c r="C12" s="49">
        <v>500</v>
      </c>
      <c r="D12" s="49">
        <v>169.8</v>
      </c>
      <c r="E12" s="49">
        <v>500</v>
      </c>
      <c r="F12" s="49">
        <v>145</v>
      </c>
      <c r="G12" s="49">
        <v>500</v>
      </c>
      <c r="H12" s="49">
        <v>180</v>
      </c>
      <c r="I12" s="49">
        <v>500</v>
      </c>
      <c r="K12" s="49"/>
    </row>
    <row r="13" spans="1:11" x14ac:dyDescent="0.25">
      <c r="A13" s="24" t="s">
        <v>1248</v>
      </c>
      <c r="B13" s="24" t="s">
        <v>1249</v>
      </c>
      <c r="C13" s="49">
        <v>0</v>
      </c>
      <c r="D13" s="49">
        <v>0</v>
      </c>
      <c r="E13" s="49">
        <v>0</v>
      </c>
      <c r="F13" s="49">
        <v>56628.3</v>
      </c>
      <c r="G13" s="49">
        <v>0</v>
      </c>
      <c r="H13" s="49">
        <v>0</v>
      </c>
      <c r="I13" s="49">
        <v>0</v>
      </c>
      <c r="K13" s="49"/>
    </row>
    <row r="14" spans="1:11" x14ac:dyDescent="0.25">
      <c r="A14" s="24"/>
      <c r="B14" s="24"/>
      <c r="C14" s="49"/>
      <c r="D14" s="49"/>
      <c r="E14" s="49"/>
      <c r="F14" s="49"/>
      <c r="G14" s="49"/>
      <c r="H14" s="49"/>
      <c r="I14" s="49"/>
      <c r="K14" s="49"/>
    </row>
    <row r="15" spans="1:11" x14ac:dyDescent="0.25">
      <c r="A15" s="24"/>
      <c r="B15" s="26" t="s">
        <v>57</v>
      </c>
      <c r="C15" s="97">
        <f>SUM(C7:C13)</f>
        <v>28825</v>
      </c>
      <c r="D15" s="97">
        <f>SUM(D7:D13)</f>
        <v>24561.35</v>
      </c>
      <c r="E15" s="97">
        <f>SUM(E7:E13)</f>
        <v>28825</v>
      </c>
      <c r="F15" s="97">
        <f>SUM(F7:F14)</f>
        <v>85487.44</v>
      </c>
      <c r="G15" s="97">
        <f>SUM(G7:G13)</f>
        <v>25625</v>
      </c>
      <c r="H15" s="97">
        <f>SUM(H7:H13)</f>
        <v>26654.789999999997</v>
      </c>
      <c r="I15" s="97">
        <f t="shared" ref="I15" si="0">SUM(I7:I14)</f>
        <v>25125</v>
      </c>
      <c r="K15" s="97"/>
    </row>
    <row r="16" spans="1:11" x14ac:dyDescent="0.25">
      <c r="A16" s="24"/>
      <c r="B16" s="26"/>
      <c r="C16" s="97"/>
      <c r="D16" s="97"/>
      <c r="E16" s="97"/>
      <c r="F16" s="97"/>
      <c r="G16" s="97"/>
      <c r="H16" s="97"/>
      <c r="I16" s="97"/>
      <c r="K16" s="97"/>
    </row>
    <row r="17" spans="1:12" x14ac:dyDescent="0.25">
      <c r="A17" s="24"/>
      <c r="B17" s="26"/>
      <c r="C17" s="97"/>
      <c r="D17" s="97"/>
      <c r="E17" s="97"/>
      <c r="F17" s="97"/>
      <c r="G17" s="97"/>
      <c r="H17" s="97"/>
      <c r="I17" s="97"/>
      <c r="K17" s="97"/>
    </row>
    <row r="18" spans="1:12" ht="14.25" customHeight="1" x14ac:dyDescent="0.25">
      <c r="A18" t="s">
        <v>77</v>
      </c>
      <c r="C18" s="9"/>
      <c r="D18" s="9"/>
      <c r="E18" s="9"/>
      <c r="F18" s="9"/>
      <c r="G18" s="9"/>
      <c r="H18" s="9"/>
      <c r="I18" s="9"/>
      <c r="K18" s="9"/>
    </row>
    <row r="19" spans="1:12" x14ac:dyDescent="0.25">
      <c r="A19" t="s">
        <v>190</v>
      </c>
      <c r="C19" s="9"/>
      <c r="D19" s="9"/>
      <c r="E19" s="9"/>
      <c r="F19" s="9"/>
      <c r="G19" s="9"/>
      <c r="H19" s="9"/>
      <c r="I19" s="9"/>
      <c r="K19" s="9"/>
    </row>
    <row r="20" spans="1:12" x14ac:dyDescent="0.25">
      <c r="A20" t="s">
        <v>52</v>
      </c>
      <c r="B20" t="s">
        <v>96</v>
      </c>
      <c r="C20" s="9">
        <f>78434+46966+46966</f>
        <v>172366</v>
      </c>
      <c r="D20" s="9">
        <v>140767.22</v>
      </c>
      <c r="E20" s="9">
        <f>75579+40601.6+42244.8</f>
        <v>158425.40000000002</v>
      </c>
      <c r="F20" s="9">
        <v>119998.92</v>
      </c>
      <c r="G20" s="9">
        <v>114085</v>
      </c>
      <c r="H20" s="9">
        <v>110814.01</v>
      </c>
      <c r="I20" s="9">
        <f>69877+39041.6</f>
        <v>108918.6</v>
      </c>
      <c r="K20" s="9"/>
    </row>
    <row r="21" spans="1:12" x14ac:dyDescent="0.25">
      <c r="A21" t="s">
        <v>53</v>
      </c>
      <c r="B21" t="s">
        <v>97</v>
      </c>
      <c r="C21" s="9">
        <v>5000</v>
      </c>
      <c r="D21" s="9">
        <v>-3749.97</v>
      </c>
      <c r="E21" s="9">
        <v>5000</v>
      </c>
      <c r="F21" s="9">
        <v>1116.6099999999999</v>
      </c>
      <c r="G21" s="9">
        <v>5000</v>
      </c>
      <c r="H21" s="9">
        <v>827.66</v>
      </c>
      <c r="I21" s="9">
        <v>5000</v>
      </c>
      <c r="K21" s="9"/>
    </row>
    <row r="22" spans="1:12" x14ac:dyDescent="0.25">
      <c r="A22" t="s">
        <v>203</v>
      </c>
      <c r="B22" t="s">
        <v>46</v>
      </c>
      <c r="C22" s="9">
        <v>20618</v>
      </c>
      <c r="D22" s="9">
        <v>17210.8</v>
      </c>
      <c r="E22" s="9">
        <f>14.23*1300</f>
        <v>18499</v>
      </c>
      <c r="F22" s="9">
        <v>28579.98</v>
      </c>
      <c r="G22" s="9">
        <v>44580</v>
      </c>
      <c r="H22" s="9">
        <f>15199.43+2387.06</f>
        <v>17586.490000000002</v>
      </c>
      <c r="I22" s="9">
        <f>26353+17095</f>
        <v>43448</v>
      </c>
      <c r="K22" s="9"/>
    </row>
    <row r="23" spans="1:12" x14ac:dyDescent="0.25">
      <c r="A23" t="s">
        <v>186</v>
      </c>
      <c r="C23" s="9"/>
      <c r="D23" s="9"/>
      <c r="E23" s="9"/>
      <c r="F23" s="9"/>
      <c r="G23" s="9"/>
      <c r="H23" s="9"/>
      <c r="I23" s="9"/>
      <c r="K23" s="9"/>
    </row>
    <row r="24" spans="1:12" x14ac:dyDescent="0.25">
      <c r="A24" t="s">
        <v>204</v>
      </c>
      <c r="B24" t="s">
        <v>188</v>
      </c>
      <c r="C24" s="9">
        <f>0.075*C22</f>
        <v>1546.35</v>
      </c>
      <c r="D24" s="9">
        <v>1326.74</v>
      </c>
      <c r="E24" s="9">
        <f>0.075*E22</f>
        <v>1387.425</v>
      </c>
      <c r="F24" s="9">
        <v>1285.83</v>
      </c>
      <c r="G24" s="9">
        <f>0.075*G22</f>
        <v>3343.5</v>
      </c>
      <c r="H24" s="9">
        <v>1010.14</v>
      </c>
      <c r="I24" s="9">
        <f>0.075*17095</f>
        <v>1282.125</v>
      </c>
      <c r="K24" s="9"/>
      <c r="L24" s="19"/>
    </row>
    <row r="25" spans="1:12" x14ac:dyDescent="0.25">
      <c r="A25" t="s">
        <v>205</v>
      </c>
      <c r="B25" t="s">
        <v>80</v>
      </c>
      <c r="C25" s="9">
        <f>0.062*C22</f>
        <v>1278.316</v>
      </c>
      <c r="D25" s="9">
        <v>990.28</v>
      </c>
      <c r="E25" s="9">
        <f>0.062*E22</f>
        <v>1146.9380000000001</v>
      </c>
      <c r="F25" s="9">
        <v>985.63</v>
      </c>
      <c r="G25" s="9">
        <f>0.062*G22</f>
        <v>2763.96</v>
      </c>
      <c r="H25" s="9">
        <v>876.97</v>
      </c>
      <c r="I25" s="9">
        <f>0.062*17095</f>
        <v>1059.8900000000001</v>
      </c>
      <c r="K25" s="9"/>
    </row>
    <row r="26" spans="1:12" x14ac:dyDescent="0.25">
      <c r="A26" t="s">
        <v>206</v>
      </c>
      <c r="B26" t="s">
        <v>82</v>
      </c>
      <c r="C26" s="9">
        <f>0.0145*SUM(C20:C22)</f>
        <v>2870.768</v>
      </c>
      <c r="D26" s="9">
        <v>2222.58</v>
      </c>
      <c r="E26" s="9">
        <f>0.0145*SUM(E20:E22)</f>
        <v>2637.9038000000005</v>
      </c>
      <c r="F26" s="9">
        <v>1948.64</v>
      </c>
      <c r="G26" s="9">
        <f>0.0145*SUM(G20:G22)</f>
        <v>2373.1424999999999</v>
      </c>
      <c r="H26" s="9">
        <v>1671.2</v>
      </c>
      <c r="I26" s="9">
        <f>0.0145*SUM(I20:I22)</f>
        <v>2281.8157000000001</v>
      </c>
      <c r="K26" s="9"/>
    </row>
    <row r="27" spans="1:12" x14ac:dyDescent="0.25">
      <c r="A27" t="s">
        <v>207</v>
      </c>
      <c r="B27" t="s">
        <v>189</v>
      </c>
      <c r="C27" s="9">
        <f>0.177*SUM(C20:C21)</f>
        <v>31393.781999999999</v>
      </c>
      <c r="D27" s="9">
        <v>25974.37</v>
      </c>
      <c r="E27" s="9">
        <f>0.177*SUM(E20:E21)</f>
        <v>28926.295800000004</v>
      </c>
      <c r="F27" s="9">
        <v>22123.94</v>
      </c>
      <c r="G27" s="9">
        <f>0.162*SUM(G20:G21)</f>
        <v>19291.77</v>
      </c>
      <c r="H27" s="9">
        <v>18320</v>
      </c>
      <c r="I27" s="9">
        <f>0.162*(108919+5000+26353)</f>
        <v>22724.064000000002</v>
      </c>
      <c r="K27" s="9"/>
    </row>
    <row r="28" spans="1:12" x14ac:dyDescent="0.25">
      <c r="A28" t="s">
        <v>181</v>
      </c>
      <c r="C28" s="9"/>
      <c r="D28" s="9"/>
      <c r="E28" s="9"/>
      <c r="F28" s="9"/>
      <c r="G28" s="9"/>
      <c r="H28" s="9"/>
      <c r="I28" s="9"/>
      <c r="K28" s="9"/>
    </row>
    <row r="29" spans="1:12" x14ac:dyDescent="0.25">
      <c r="A29" t="s">
        <v>208</v>
      </c>
      <c r="B29" t="s">
        <v>183</v>
      </c>
      <c r="C29" s="9">
        <f>54000+11250</f>
        <v>65250</v>
      </c>
      <c r="D29" s="9">
        <v>24397.25</v>
      </c>
      <c r="E29" s="9">
        <f>22800+22800+22800+14250</f>
        <v>82650</v>
      </c>
      <c r="F29" s="9">
        <v>22136.13</v>
      </c>
      <c r="G29" s="9">
        <v>29925</v>
      </c>
      <c r="H29" s="9">
        <v>16956.259999999998</v>
      </c>
      <c r="I29" s="9">
        <f>10800+10800+6750</f>
        <v>28350</v>
      </c>
      <c r="K29" s="9"/>
    </row>
    <row r="30" spans="1:12" x14ac:dyDescent="0.25">
      <c r="A30" t="s">
        <v>209</v>
      </c>
      <c r="B30" t="s">
        <v>185</v>
      </c>
      <c r="C30" s="9">
        <f>1020+1020+1020+637.5</f>
        <v>3697.5</v>
      </c>
      <c r="D30" s="9">
        <v>2687.67</v>
      </c>
      <c r="E30" s="9">
        <f>795+795+795+497</f>
        <v>2882</v>
      </c>
      <c r="F30" s="9">
        <v>1804.78</v>
      </c>
      <c r="G30" s="9">
        <f>765+765+474</f>
        <v>2004</v>
      </c>
      <c r="H30" s="9">
        <v>1301.8</v>
      </c>
      <c r="I30" s="9">
        <f>734.64+734.64+459.15</f>
        <v>1928.4299999999998</v>
      </c>
      <c r="K30" s="9"/>
    </row>
    <row r="31" spans="1:12" x14ac:dyDescent="0.25">
      <c r="A31" s="24" t="s">
        <v>677</v>
      </c>
      <c r="C31" s="9"/>
      <c r="D31" s="9"/>
      <c r="E31" s="9"/>
      <c r="F31" s="9"/>
      <c r="G31" s="9"/>
      <c r="H31" s="9"/>
      <c r="I31" s="9"/>
      <c r="K31" s="9"/>
    </row>
    <row r="32" spans="1:12" x14ac:dyDescent="0.25">
      <c r="A32" s="24" t="s">
        <v>968</v>
      </c>
      <c r="B32" s="24" t="s">
        <v>943</v>
      </c>
      <c r="C32" s="49">
        <v>0</v>
      </c>
      <c r="D32" s="49">
        <v>2.66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K32" s="49"/>
    </row>
    <row r="33" spans="1:11" x14ac:dyDescent="0.25">
      <c r="A33" t="s">
        <v>42</v>
      </c>
      <c r="C33" s="9"/>
      <c r="D33" s="9"/>
      <c r="E33" s="9"/>
      <c r="F33" s="9"/>
      <c r="G33" s="9"/>
      <c r="H33" s="9"/>
      <c r="I33" s="9"/>
      <c r="K33" s="9"/>
    </row>
    <row r="34" spans="1:11" x14ac:dyDescent="0.25">
      <c r="A34" t="s">
        <v>210</v>
      </c>
      <c r="B34" t="s">
        <v>180</v>
      </c>
      <c r="C34" s="9">
        <v>8000</v>
      </c>
      <c r="D34" s="9">
        <v>8193</v>
      </c>
      <c r="E34" s="9">
        <v>8000</v>
      </c>
      <c r="F34" s="9">
        <v>7945</v>
      </c>
      <c r="G34" s="9">
        <v>8800</v>
      </c>
      <c r="H34" s="9">
        <v>8734.2199999999993</v>
      </c>
      <c r="I34" s="9">
        <v>6500</v>
      </c>
      <c r="K34" s="9"/>
    </row>
    <row r="35" spans="1:11" x14ac:dyDescent="0.25">
      <c r="A35" t="s">
        <v>32</v>
      </c>
      <c r="C35" s="9"/>
      <c r="D35" s="9"/>
      <c r="E35" s="9"/>
      <c r="F35" s="9"/>
      <c r="G35" s="9"/>
      <c r="H35" s="9"/>
      <c r="I35" s="9"/>
      <c r="K35" s="9"/>
    </row>
    <row r="36" spans="1:11" x14ac:dyDescent="0.25">
      <c r="A36" t="s">
        <v>211</v>
      </c>
      <c r="B36" t="s">
        <v>33</v>
      </c>
      <c r="C36" s="9">
        <v>1000</v>
      </c>
      <c r="D36" s="9">
        <v>16.13</v>
      </c>
      <c r="E36" s="9">
        <v>1000</v>
      </c>
      <c r="F36" s="9">
        <v>6.38</v>
      </c>
      <c r="G36" s="9">
        <v>1000</v>
      </c>
      <c r="H36" s="9">
        <v>302</v>
      </c>
      <c r="I36" s="9">
        <v>1000</v>
      </c>
      <c r="K36" s="9"/>
    </row>
    <row r="37" spans="1:11" x14ac:dyDescent="0.25">
      <c r="A37" t="s">
        <v>212</v>
      </c>
      <c r="B37" t="s">
        <v>41</v>
      </c>
      <c r="C37" s="9">
        <v>1000</v>
      </c>
      <c r="D37" s="9">
        <v>343.85</v>
      </c>
      <c r="E37" s="9">
        <v>1000</v>
      </c>
      <c r="F37" s="9">
        <v>499.09</v>
      </c>
      <c r="G37" s="9">
        <v>1000</v>
      </c>
      <c r="H37" s="9">
        <v>717.66</v>
      </c>
      <c r="I37" s="9">
        <v>1000</v>
      </c>
      <c r="K37" s="9"/>
    </row>
    <row r="38" spans="1:11" x14ac:dyDescent="0.25">
      <c r="A38" t="s">
        <v>147</v>
      </c>
      <c r="C38" s="9"/>
      <c r="D38" s="9"/>
      <c r="E38" s="9"/>
      <c r="F38" s="9"/>
      <c r="G38" s="9"/>
      <c r="H38" s="9"/>
      <c r="I38" s="9"/>
      <c r="K38" s="9"/>
    </row>
    <row r="39" spans="1:11" x14ac:dyDescent="0.25">
      <c r="A39" t="s">
        <v>213</v>
      </c>
      <c r="B39" t="s">
        <v>150</v>
      </c>
      <c r="C39" s="9">
        <v>6000</v>
      </c>
      <c r="D39" s="9">
        <v>3244.46</v>
      </c>
      <c r="E39" s="9">
        <v>5000</v>
      </c>
      <c r="F39" s="9">
        <v>3529.33</v>
      </c>
      <c r="G39" s="9">
        <v>5000</v>
      </c>
      <c r="H39" s="9">
        <v>3757.57</v>
      </c>
      <c r="I39" s="9">
        <v>5000</v>
      </c>
      <c r="K39" s="9"/>
    </row>
    <row r="40" spans="1:11" x14ac:dyDescent="0.25">
      <c r="A40" t="s">
        <v>214</v>
      </c>
      <c r="B40" t="s">
        <v>172</v>
      </c>
      <c r="C40" s="9">
        <v>600</v>
      </c>
      <c r="D40" s="9">
        <v>94</v>
      </c>
      <c r="E40" s="9">
        <v>600</v>
      </c>
      <c r="F40" s="9">
        <v>206.4</v>
      </c>
      <c r="G40" s="9">
        <v>400</v>
      </c>
      <c r="H40" s="9">
        <v>202.5</v>
      </c>
      <c r="I40" s="9">
        <v>400</v>
      </c>
      <c r="K40" s="9"/>
    </row>
    <row r="41" spans="1:11" x14ac:dyDescent="0.25">
      <c r="A41" t="s">
        <v>215</v>
      </c>
      <c r="B41" t="s">
        <v>31</v>
      </c>
      <c r="C41" s="9">
        <v>2000</v>
      </c>
      <c r="D41" s="9">
        <v>1882.5</v>
      </c>
      <c r="E41" s="9">
        <v>2000</v>
      </c>
      <c r="F41" s="9">
        <v>1202.07</v>
      </c>
      <c r="G41" s="9">
        <v>2000</v>
      </c>
      <c r="H41" s="9">
        <v>105.64</v>
      </c>
      <c r="I41" s="9">
        <v>2000</v>
      </c>
      <c r="K41" s="9"/>
    </row>
    <row r="42" spans="1:11" x14ac:dyDescent="0.25">
      <c r="A42" t="s">
        <v>23</v>
      </c>
      <c r="C42" s="9"/>
      <c r="D42" s="9"/>
      <c r="E42" s="9"/>
      <c r="F42" s="9"/>
      <c r="G42" s="9"/>
      <c r="H42" s="9"/>
      <c r="I42" s="9"/>
      <c r="K42" s="9"/>
    </row>
    <row r="43" spans="1:11" x14ac:dyDescent="0.25">
      <c r="A43" t="s">
        <v>216</v>
      </c>
      <c r="B43" t="s">
        <v>139</v>
      </c>
      <c r="C43" s="9">
        <v>1000</v>
      </c>
      <c r="D43" s="9">
        <v>520.74</v>
      </c>
      <c r="E43" s="9">
        <v>1000</v>
      </c>
      <c r="F43" s="9">
        <v>720.16</v>
      </c>
      <c r="G43" s="9">
        <v>1000</v>
      </c>
      <c r="H43" s="9">
        <v>999.97</v>
      </c>
      <c r="I43" s="9">
        <v>1000</v>
      </c>
      <c r="K43" s="9"/>
    </row>
    <row r="44" spans="1:11" x14ac:dyDescent="0.25">
      <c r="A44" t="s">
        <v>217</v>
      </c>
      <c r="B44" t="s">
        <v>140</v>
      </c>
      <c r="C44" s="9">
        <v>750</v>
      </c>
      <c r="D44" s="9">
        <v>0</v>
      </c>
      <c r="E44" s="9">
        <v>750</v>
      </c>
      <c r="F44" s="9">
        <v>0</v>
      </c>
      <c r="G44" s="9">
        <v>750</v>
      </c>
      <c r="H44" s="9">
        <v>1081.24</v>
      </c>
      <c r="I44" s="9">
        <v>750</v>
      </c>
      <c r="K44" s="9"/>
    </row>
    <row r="45" spans="1:11" x14ac:dyDescent="0.25">
      <c r="A45" t="s">
        <v>218</v>
      </c>
      <c r="B45" t="s">
        <v>146</v>
      </c>
      <c r="C45" s="9">
        <v>600</v>
      </c>
      <c r="D45" s="9">
        <v>68</v>
      </c>
      <c r="E45" s="9">
        <v>600</v>
      </c>
      <c r="F45" s="9">
        <v>534.69000000000005</v>
      </c>
      <c r="G45" s="9">
        <v>600</v>
      </c>
      <c r="H45" s="9">
        <v>392.76</v>
      </c>
      <c r="I45" s="9">
        <v>600</v>
      </c>
      <c r="K45" s="9"/>
    </row>
    <row r="46" spans="1:11" x14ac:dyDescent="0.25">
      <c r="A46" t="s">
        <v>6</v>
      </c>
      <c r="C46" s="9"/>
      <c r="D46" s="9"/>
      <c r="E46" s="9"/>
      <c r="F46" s="9"/>
      <c r="G46" s="9"/>
      <c r="H46" s="9"/>
      <c r="I46" s="9"/>
      <c r="K46" s="9"/>
    </row>
    <row r="47" spans="1:11" x14ac:dyDescent="0.25">
      <c r="A47" t="s">
        <v>219</v>
      </c>
      <c r="B47" t="s">
        <v>12</v>
      </c>
      <c r="C47" s="9">
        <v>10000</v>
      </c>
      <c r="D47" s="9">
        <v>5937.75</v>
      </c>
      <c r="E47" s="9">
        <v>10000</v>
      </c>
      <c r="F47" s="9">
        <v>8386.77</v>
      </c>
      <c r="G47" s="9">
        <v>10000</v>
      </c>
      <c r="H47" s="9">
        <v>8315.25</v>
      </c>
      <c r="I47" s="9">
        <v>8000</v>
      </c>
      <c r="K47" s="9"/>
    </row>
    <row r="48" spans="1:11" x14ac:dyDescent="0.25">
      <c r="A48" t="s">
        <v>815</v>
      </c>
      <c r="B48" t="s">
        <v>14</v>
      </c>
      <c r="C48" s="34">
        <v>9400</v>
      </c>
      <c r="D48" s="9">
        <v>0</v>
      </c>
      <c r="E48" s="9">
        <f>1900+7500</f>
        <v>9400</v>
      </c>
      <c r="F48" s="9">
        <v>2686.68</v>
      </c>
      <c r="G48" s="9">
        <v>1900</v>
      </c>
      <c r="H48" s="9">
        <v>1805.41</v>
      </c>
      <c r="I48" s="9">
        <v>1650</v>
      </c>
      <c r="K48" s="9"/>
    </row>
    <row r="49" spans="1:11" x14ac:dyDescent="0.25">
      <c r="A49" s="24" t="s">
        <v>650</v>
      </c>
      <c r="B49" t="s">
        <v>92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33.630000000000003</v>
      </c>
      <c r="I49" s="9">
        <v>0</v>
      </c>
      <c r="K49" s="9"/>
    </row>
    <row r="50" spans="1:11" x14ac:dyDescent="0.25">
      <c r="A50" t="s">
        <v>5</v>
      </c>
      <c r="C50" s="9"/>
      <c r="D50" s="9"/>
      <c r="E50" s="9"/>
      <c r="F50" s="9"/>
      <c r="G50" s="9"/>
      <c r="H50" s="9"/>
      <c r="I50" s="9"/>
      <c r="K50" s="9"/>
    </row>
    <row r="51" spans="1:11" x14ac:dyDescent="0.25">
      <c r="A51" t="s">
        <v>220</v>
      </c>
      <c r="B51" t="s">
        <v>87</v>
      </c>
      <c r="C51" s="9">
        <v>2000</v>
      </c>
      <c r="D51" s="9">
        <v>1859.2</v>
      </c>
      <c r="E51" s="9">
        <v>2000</v>
      </c>
      <c r="F51" s="9">
        <v>2145.41</v>
      </c>
      <c r="G51" s="9">
        <v>2000</v>
      </c>
      <c r="H51" s="9">
        <v>2326.37</v>
      </c>
      <c r="I51" s="9">
        <v>1000</v>
      </c>
      <c r="K51" s="9"/>
    </row>
    <row r="52" spans="1:11" x14ac:dyDescent="0.25">
      <c r="A52" t="s">
        <v>221</v>
      </c>
      <c r="B52" t="s">
        <v>88</v>
      </c>
      <c r="C52" s="9">
        <v>200</v>
      </c>
      <c r="D52" s="9">
        <v>7.5</v>
      </c>
      <c r="E52" s="9">
        <v>200</v>
      </c>
      <c r="F52" s="9">
        <v>0</v>
      </c>
      <c r="G52" s="9">
        <v>300</v>
      </c>
      <c r="H52" s="9">
        <v>17.350000000000001</v>
      </c>
      <c r="I52" s="9">
        <v>250</v>
      </c>
      <c r="K52" s="9"/>
    </row>
    <row r="53" spans="1:11" x14ac:dyDescent="0.25">
      <c r="A53" t="s">
        <v>134</v>
      </c>
      <c r="C53" s="9"/>
      <c r="D53" s="9"/>
      <c r="E53" s="9"/>
      <c r="F53" s="9"/>
      <c r="G53" s="9"/>
      <c r="H53" s="9"/>
      <c r="I53" s="9"/>
      <c r="K53" s="9"/>
    </row>
    <row r="54" spans="1:11" x14ac:dyDescent="0.25">
      <c r="A54" t="s">
        <v>222</v>
      </c>
      <c r="B54" t="s">
        <v>135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42.64</v>
      </c>
      <c r="I54" s="9">
        <v>0</v>
      </c>
      <c r="K54" s="9"/>
    </row>
    <row r="55" spans="1:11" x14ac:dyDescent="0.25">
      <c r="A55" t="s">
        <v>126</v>
      </c>
      <c r="C55" s="9"/>
      <c r="D55" s="9"/>
      <c r="E55" s="9"/>
      <c r="F55" s="9"/>
      <c r="G55" s="9"/>
      <c r="H55" s="9"/>
      <c r="I55" s="9"/>
      <c r="K55" s="9"/>
    </row>
    <row r="56" spans="1:11" x14ac:dyDescent="0.25">
      <c r="A56" t="s">
        <v>498</v>
      </c>
      <c r="B56" t="s">
        <v>84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K56" s="9"/>
    </row>
    <row r="57" spans="1:11" x14ac:dyDescent="0.25">
      <c r="A57" t="s">
        <v>499</v>
      </c>
      <c r="B57" t="s">
        <v>500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K57" s="9"/>
    </row>
    <row r="58" spans="1:11" x14ac:dyDescent="0.25">
      <c r="A58" t="s">
        <v>223</v>
      </c>
      <c r="B58" t="s">
        <v>129</v>
      </c>
      <c r="C58" s="9">
        <v>2500</v>
      </c>
      <c r="D58" s="9">
        <v>3069</v>
      </c>
      <c r="E58" s="9">
        <v>2500</v>
      </c>
      <c r="F58" s="9">
        <v>2438</v>
      </c>
      <c r="G58" s="9">
        <v>2400</v>
      </c>
      <c r="H58" s="9">
        <v>2343</v>
      </c>
      <c r="I58" s="9">
        <v>1000</v>
      </c>
      <c r="K58" s="9"/>
    </row>
    <row r="59" spans="1:11" x14ac:dyDescent="0.25">
      <c r="A59" t="s">
        <v>119</v>
      </c>
      <c r="C59" s="9"/>
      <c r="D59" s="9"/>
      <c r="E59" s="9"/>
      <c r="F59" s="9"/>
      <c r="G59" s="9"/>
      <c r="H59" s="9"/>
      <c r="I59" s="9"/>
      <c r="K59" s="9"/>
    </row>
    <row r="60" spans="1:11" x14ac:dyDescent="0.25">
      <c r="A60" t="s">
        <v>224</v>
      </c>
      <c r="B60" t="s">
        <v>120</v>
      </c>
      <c r="C60" s="9">
        <v>1500</v>
      </c>
      <c r="D60" s="9">
        <v>543.58000000000004</v>
      </c>
      <c r="E60" s="9">
        <v>1500</v>
      </c>
      <c r="F60" s="9">
        <v>763.43</v>
      </c>
      <c r="G60" s="9">
        <v>1500</v>
      </c>
      <c r="H60" s="9">
        <v>765.77</v>
      </c>
      <c r="I60" s="9">
        <v>1500</v>
      </c>
      <c r="K60" s="9"/>
    </row>
    <row r="61" spans="1:11" x14ac:dyDescent="0.25">
      <c r="A61" t="s">
        <v>490</v>
      </c>
      <c r="C61" s="9"/>
      <c r="D61" s="9"/>
      <c r="E61" s="9"/>
      <c r="F61" s="9"/>
      <c r="G61" s="9"/>
      <c r="H61" s="9"/>
      <c r="I61" s="9"/>
      <c r="K61" s="9"/>
    </row>
    <row r="62" spans="1:11" x14ac:dyDescent="0.25">
      <c r="A62" s="24" t="s">
        <v>1246</v>
      </c>
      <c r="B62" s="24" t="s">
        <v>1010</v>
      </c>
      <c r="C62" s="49">
        <v>0</v>
      </c>
      <c r="D62" s="49">
        <v>4525</v>
      </c>
      <c r="E62" s="9">
        <v>0</v>
      </c>
      <c r="F62" s="9">
        <v>56977.07</v>
      </c>
      <c r="G62" s="9">
        <v>0</v>
      </c>
      <c r="H62" s="9">
        <v>0</v>
      </c>
      <c r="I62" s="9">
        <v>0</v>
      </c>
      <c r="K62" s="9"/>
    </row>
    <row r="63" spans="1:11" x14ac:dyDescent="0.25">
      <c r="A63" s="10" t="s">
        <v>515</v>
      </c>
      <c r="B63" s="24" t="s">
        <v>513</v>
      </c>
      <c r="C63" s="49">
        <v>2500</v>
      </c>
      <c r="D63" s="49">
        <v>0</v>
      </c>
      <c r="E63" s="9">
        <v>4000</v>
      </c>
      <c r="F63" s="9">
        <v>2157.8000000000002</v>
      </c>
      <c r="G63" s="9">
        <v>2000</v>
      </c>
      <c r="H63" s="9">
        <v>265.64</v>
      </c>
      <c r="I63" s="9">
        <v>2000</v>
      </c>
      <c r="K63" s="9"/>
    </row>
    <row r="64" spans="1:11" x14ac:dyDescent="0.25">
      <c r="A64" s="24" t="s">
        <v>114</v>
      </c>
      <c r="B64" s="24"/>
      <c r="C64" s="49"/>
      <c r="D64" s="49"/>
      <c r="E64" s="49"/>
      <c r="F64" s="49"/>
      <c r="G64" s="49"/>
      <c r="H64" s="49"/>
      <c r="I64" s="49"/>
      <c r="K64" s="49"/>
    </row>
    <row r="65" spans="1:11" x14ac:dyDescent="0.25">
      <c r="A65" s="24" t="s">
        <v>969</v>
      </c>
      <c r="B65" s="24" t="s">
        <v>970</v>
      </c>
      <c r="C65" s="49">
        <v>0</v>
      </c>
      <c r="D65" s="49">
        <v>325.7</v>
      </c>
      <c r="E65" s="49">
        <v>0</v>
      </c>
      <c r="F65" s="49">
        <v>3100.5</v>
      </c>
      <c r="G65" s="49">
        <v>2500</v>
      </c>
      <c r="H65" s="49">
        <v>0</v>
      </c>
      <c r="I65" s="49">
        <v>0</v>
      </c>
      <c r="K65" s="49"/>
    </row>
    <row r="66" spans="1:11" x14ac:dyDescent="0.25">
      <c r="A66" t="s">
        <v>105</v>
      </c>
      <c r="C66" s="9"/>
      <c r="D66" s="9"/>
      <c r="E66" s="9"/>
      <c r="F66" s="9"/>
      <c r="G66" s="9"/>
      <c r="H66" s="9"/>
      <c r="I66" s="9"/>
      <c r="K66" s="9"/>
    </row>
    <row r="67" spans="1:11" x14ac:dyDescent="0.25">
      <c r="A67" t="s">
        <v>225</v>
      </c>
      <c r="B67" t="s">
        <v>91</v>
      </c>
      <c r="C67" s="9">
        <v>3000</v>
      </c>
      <c r="D67" s="9">
        <v>272.2</v>
      </c>
      <c r="E67" s="9">
        <v>3000</v>
      </c>
      <c r="F67" s="9">
        <v>1214.44</v>
      </c>
      <c r="G67" s="9">
        <v>3000</v>
      </c>
      <c r="H67" s="9">
        <v>784.34</v>
      </c>
      <c r="I67" s="9">
        <v>3000</v>
      </c>
      <c r="K67" s="9"/>
    </row>
    <row r="68" spans="1:11" x14ac:dyDescent="0.25">
      <c r="A68" t="s">
        <v>226</v>
      </c>
      <c r="B68" t="s">
        <v>89</v>
      </c>
      <c r="C68" s="9">
        <v>1000</v>
      </c>
      <c r="D68" s="9">
        <v>445</v>
      </c>
      <c r="E68" s="9">
        <v>1000</v>
      </c>
      <c r="F68" s="9">
        <v>547.76</v>
      </c>
      <c r="G68" s="9">
        <v>1000</v>
      </c>
      <c r="H68" s="9">
        <v>455.28</v>
      </c>
      <c r="I68" s="9">
        <v>1000</v>
      </c>
      <c r="K68" s="9"/>
    </row>
    <row r="69" spans="1:11" x14ac:dyDescent="0.25">
      <c r="A69" s="24" t="s">
        <v>1263</v>
      </c>
      <c r="B69" s="24" t="s">
        <v>59</v>
      </c>
      <c r="C69" s="49">
        <v>0</v>
      </c>
      <c r="D69" s="9">
        <v>0</v>
      </c>
      <c r="E69" s="9">
        <v>0</v>
      </c>
      <c r="F69" s="9">
        <v>656.22</v>
      </c>
      <c r="G69" s="9">
        <v>0</v>
      </c>
      <c r="H69" s="9">
        <v>0</v>
      </c>
      <c r="I69" s="9">
        <v>0</v>
      </c>
      <c r="K69" s="9"/>
    </row>
    <row r="70" spans="1:11" x14ac:dyDescent="0.25">
      <c r="A70" t="s">
        <v>227</v>
      </c>
      <c r="B70" t="s">
        <v>106</v>
      </c>
      <c r="C70" s="9">
        <v>2500</v>
      </c>
      <c r="D70" s="9">
        <v>1859.34</v>
      </c>
      <c r="E70" s="9">
        <v>2500</v>
      </c>
      <c r="F70" s="9">
        <v>1842.86</v>
      </c>
      <c r="G70" s="9">
        <v>2500</v>
      </c>
      <c r="H70" s="9">
        <f>52.33+759.82</f>
        <v>812.15000000000009</v>
      </c>
      <c r="I70" s="9">
        <v>2000</v>
      </c>
      <c r="K70" s="9"/>
    </row>
    <row r="71" spans="1:11" x14ac:dyDescent="0.25">
      <c r="A71" t="s">
        <v>228</v>
      </c>
      <c r="B71" t="s">
        <v>107</v>
      </c>
      <c r="C71" s="9">
        <v>3200</v>
      </c>
      <c r="D71" s="9">
        <v>0</v>
      </c>
      <c r="E71" s="9">
        <v>3200</v>
      </c>
      <c r="F71" s="9">
        <v>2634.93</v>
      </c>
      <c r="G71" s="9">
        <v>2500</v>
      </c>
      <c r="H71" s="9">
        <v>2604.23</v>
      </c>
      <c r="I71" s="9">
        <v>1500</v>
      </c>
      <c r="K71" s="9"/>
    </row>
    <row r="72" spans="1:11" x14ac:dyDescent="0.25">
      <c r="C72" s="9"/>
      <c r="D72" s="9"/>
      <c r="E72" s="9"/>
      <c r="F72" s="9"/>
      <c r="G72" s="9"/>
      <c r="H72" s="9"/>
      <c r="I72" s="9"/>
      <c r="K72" s="9"/>
    </row>
    <row r="73" spans="1:11" x14ac:dyDescent="0.25">
      <c r="B73" s="23" t="s">
        <v>57</v>
      </c>
      <c r="C73" s="107">
        <f t="shared" ref="C73:H73" si="1">SUM(C20:C71)</f>
        <v>362770.71600000001</v>
      </c>
      <c r="D73" s="107">
        <f t="shared" si="1"/>
        <v>245036.55</v>
      </c>
      <c r="E73" s="107">
        <f t="shared" si="1"/>
        <v>360804.96259999997</v>
      </c>
      <c r="F73" s="107">
        <f t="shared" si="1"/>
        <v>300175.44999999995</v>
      </c>
      <c r="G73" s="107">
        <f t="shared" si="1"/>
        <v>275516.37249999994</v>
      </c>
      <c r="H73" s="107">
        <f t="shared" si="1"/>
        <v>206229.15000000005</v>
      </c>
      <c r="I73" s="107">
        <f>SUM(I20:I72)</f>
        <v>256142.92470000003</v>
      </c>
      <c r="K73" s="107"/>
    </row>
    <row r="74" spans="1:11" x14ac:dyDescent="0.25">
      <c r="A74" s="10"/>
    </row>
    <row r="77" spans="1:11" x14ac:dyDescent="0.25">
      <c r="A77" s="24" t="s">
        <v>1095</v>
      </c>
    </row>
    <row r="78" spans="1:11" x14ac:dyDescent="0.25">
      <c r="A78" s="24"/>
    </row>
    <row r="79" spans="1:11" x14ac:dyDescent="0.25">
      <c r="A79" s="24"/>
    </row>
    <row r="80" spans="1:11" x14ac:dyDescent="0.25">
      <c r="A80" t="s">
        <v>1165</v>
      </c>
      <c r="B80" t="s">
        <v>1166</v>
      </c>
    </row>
    <row r="81" spans="1:3" x14ac:dyDescent="0.25">
      <c r="A81" t="s">
        <v>1167</v>
      </c>
      <c r="B81" t="s">
        <v>1168</v>
      </c>
    </row>
    <row r="82" spans="1:3" ht="13.8" x14ac:dyDescent="0.25">
      <c r="A82" s="121"/>
    </row>
    <row r="84" spans="1:3" x14ac:dyDescent="0.25">
      <c r="A84" s="110" t="s">
        <v>1312</v>
      </c>
    </row>
    <row r="85" spans="1:3" x14ac:dyDescent="0.25">
      <c r="A85" s="24" t="s">
        <v>1122</v>
      </c>
      <c r="B85" s="16">
        <v>2500</v>
      </c>
      <c r="C85">
        <v>570</v>
      </c>
    </row>
    <row r="86" spans="1:3" x14ac:dyDescent="0.25">
      <c r="A86" s="24" t="s">
        <v>1313</v>
      </c>
      <c r="B86" s="16">
        <v>7000</v>
      </c>
      <c r="C86">
        <v>309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5"/>
  <sheetViews>
    <sheetView topLeftCell="A61" workbookViewId="0">
      <selection activeCell="P84" sqref="P84"/>
    </sheetView>
  </sheetViews>
  <sheetFormatPr defaultRowHeight="13.2" x14ac:dyDescent="0.25"/>
  <cols>
    <col min="1" max="1" width="18.44140625" customWidth="1"/>
    <col min="2" max="2" width="29.44140625" bestFit="1" customWidth="1"/>
    <col min="3" max="9" width="11.6640625" customWidth="1"/>
  </cols>
  <sheetData>
    <row r="1" spans="1:9" ht="15.6" x14ac:dyDescent="0.3">
      <c r="B1" s="11" t="s">
        <v>481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  <c r="I1" s="36">
        <v>2018</v>
      </c>
    </row>
    <row r="2" spans="1:9" x14ac:dyDescent="0.25">
      <c r="C2" s="1" t="s">
        <v>501</v>
      </c>
      <c r="D2" s="1" t="s">
        <v>1370</v>
      </c>
      <c r="E2" s="36" t="s">
        <v>501</v>
      </c>
      <c r="F2" s="36" t="s">
        <v>794</v>
      </c>
      <c r="G2" s="36" t="s">
        <v>501</v>
      </c>
      <c r="H2" s="36" t="s">
        <v>794</v>
      </c>
      <c r="I2" s="36" t="s">
        <v>501</v>
      </c>
    </row>
    <row r="4" spans="1:9" ht="15.6" x14ac:dyDescent="0.3">
      <c r="A4" s="24" t="s">
        <v>76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24" t="s">
        <v>972</v>
      </c>
      <c r="B5" s="24" t="s">
        <v>973</v>
      </c>
      <c r="C5" s="49">
        <v>16000</v>
      </c>
      <c r="D5" s="49">
        <v>16431</v>
      </c>
      <c r="E5" s="49">
        <v>12500</v>
      </c>
      <c r="F5" s="49">
        <v>15978</v>
      </c>
      <c r="G5" s="49">
        <v>12500</v>
      </c>
      <c r="H5" s="49">
        <v>0</v>
      </c>
      <c r="I5" s="49">
        <v>12500</v>
      </c>
    </row>
    <row r="6" spans="1:9" x14ac:dyDescent="0.25">
      <c r="A6" s="24" t="s">
        <v>1298</v>
      </c>
      <c r="B6" s="24" t="s">
        <v>973</v>
      </c>
      <c r="C6" s="49">
        <v>0</v>
      </c>
      <c r="D6" s="49">
        <v>2010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</row>
    <row r="7" spans="1:9" x14ac:dyDescent="0.25">
      <c r="A7" s="24" t="s">
        <v>974</v>
      </c>
      <c r="B7" s="24" t="s">
        <v>964</v>
      </c>
      <c r="C7" s="49">
        <v>3000</v>
      </c>
      <c r="D7" s="49">
        <v>1600</v>
      </c>
      <c r="E7" s="49">
        <v>3000</v>
      </c>
      <c r="F7" s="49">
        <v>4791.8</v>
      </c>
      <c r="G7" s="49">
        <v>1375</v>
      </c>
      <c r="H7" s="49">
        <v>1900</v>
      </c>
      <c r="I7" s="49">
        <v>1375</v>
      </c>
    </row>
    <row r="8" spans="1:9" x14ac:dyDescent="0.25">
      <c r="A8" s="24" t="s">
        <v>1183</v>
      </c>
      <c r="B8" s="24" t="s">
        <v>1184</v>
      </c>
      <c r="C8" s="49">
        <v>0</v>
      </c>
      <c r="D8" s="49">
        <v>0</v>
      </c>
      <c r="E8" s="49">
        <v>0</v>
      </c>
      <c r="F8" s="49">
        <v>421.05</v>
      </c>
      <c r="G8" s="49">
        <v>0</v>
      </c>
      <c r="H8" s="49">
        <v>0</v>
      </c>
      <c r="I8" s="49">
        <v>0</v>
      </c>
    </row>
    <row r="9" spans="1:9" x14ac:dyDescent="0.25">
      <c r="A9" s="24" t="s">
        <v>1073</v>
      </c>
      <c r="B9" s="24" t="s">
        <v>949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x14ac:dyDescent="0.25">
      <c r="A10" s="24" t="s">
        <v>975</v>
      </c>
      <c r="B10" s="24" t="s">
        <v>781</v>
      </c>
      <c r="C10" s="49">
        <v>3000</v>
      </c>
      <c r="D10" s="49">
        <v>799.95</v>
      </c>
      <c r="E10" s="49">
        <v>3000</v>
      </c>
      <c r="F10" s="49">
        <v>3635</v>
      </c>
      <c r="G10" s="49">
        <v>3000</v>
      </c>
      <c r="H10" s="49">
        <v>6816.91</v>
      </c>
      <c r="I10" s="49">
        <v>3000</v>
      </c>
    </row>
    <row r="11" spans="1:9" x14ac:dyDescent="0.25">
      <c r="A11" s="24" t="s">
        <v>977</v>
      </c>
      <c r="B11" s="24" t="s">
        <v>978</v>
      </c>
      <c r="C11" s="49">
        <v>13000</v>
      </c>
      <c r="D11" s="49">
        <v>0</v>
      </c>
      <c r="E11" s="49">
        <v>13000</v>
      </c>
      <c r="F11" s="49">
        <v>35183</v>
      </c>
      <c r="G11" s="49">
        <v>13000</v>
      </c>
      <c r="H11" s="49">
        <v>8382</v>
      </c>
      <c r="I11" s="49">
        <v>13000</v>
      </c>
    </row>
    <row r="12" spans="1:9" x14ac:dyDescent="0.25">
      <c r="A12" s="24"/>
      <c r="B12" s="24"/>
      <c r="C12" s="49"/>
      <c r="D12" s="49"/>
      <c r="E12" s="49"/>
      <c r="F12" s="49"/>
      <c r="G12" s="49"/>
      <c r="H12" s="49"/>
      <c r="I12" s="49"/>
    </row>
    <row r="13" spans="1:9" x14ac:dyDescent="0.25">
      <c r="A13" s="24"/>
      <c r="B13" s="26" t="s">
        <v>57</v>
      </c>
      <c r="C13" s="97">
        <f t="shared" ref="C13:H13" si="0">SUM(C5:C11)</f>
        <v>35000</v>
      </c>
      <c r="D13" s="97">
        <f t="shared" si="0"/>
        <v>20840.95</v>
      </c>
      <c r="E13" s="97">
        <f t="shared" si="0"/>
        <v>31500</v>
      </c>
      <c r="F13" s="97">
        <f t="shared" si="0"/>
        <v>60008.85</v>
      </c>
      <c r="G13" s="97">
        <f t="shared" si="0"/>
        <v>29875</v>
      </c>
      <c r="H13" s="97">
        <f t="shared" si="0"/>
        <v>17098.91</v>
      </c>
      <c r="I13" s="97">
        <f>SUM(I5:I12)</f>
        <v>29875</v>
      </c>
    </row>
    <row r="14" spans="1:9" x14ac:dyDescent="0.25">
      <c r="C14" s="9"/>
      <c r="D14" s="9"/>
      <c r="E14" s="9"/>
      <c r="F14" s="9"/>
      <c r="G14" s="9"/>
      <c r="H14" s="9"/>
      <c r="I14" s="9"/>
    </row>
    <row r="15" spans="1:9" x14ac:dyDescent="0.25">
      <c r="C15" s="9"/>
      <c r="D15" s="9"/>
      <c r="E15" s="9"/>
      <c r="F15" s="9"/>
      <c r="G15" s="9"/>
      <c r="H15" s="9"/>
      <c r="I15" s="9"/>
    </row>
    <row r="16" spans="1:9" x14ac:dyDescent="0.25">
      <c r="A16" s="24" t="s">
        <v>77</v>
      </c>
      <c r="C16" s="9"/>
      <c r="D16" s="9"/>
      <c r="E16" s="9"/>
      <c r="F16" s="9"/>
      <c r="G16" s="9"/>
      <c r="H16" s="9"/>
      <c r="I16" s="9"/>
    </row>
    <row r="17" spans="1:9" x14ac:dyDescent="0.25">
      <c r="A17" t="s">
        <v>190</v>
      </c>
      <c r="C17" s="9"/>
      <c r="D17" s="9"/>
      <c r="E17" s="9"/>
      <c r="F17" s="9"/>
      <c r="G17" s="9"/>
      <c r="H17" s="9"/>
      <c r="I17" s="9"/>
    </row>
    <row r="18" spans="1:9" x14ac:dyDescent="0.25">
      <c r="A18" t="s">
        <v>229</v>
      </c>
      <c r="B18" t="s">
        <v>46</v>
      </c>
      <c r="C18" s="9">
        <v>8200</v>
      </c>
      <c r="D18" s="9">
        <v>0</v>
      </c>
      <c r="E18" s="34">
        <v>8200</v>
      </c>
      <c r="F18" s="9">
        <v>6900.32</v>
      </c>
      <c r="G18" s="9">
        <v>7000</v>
      </c>
      <c r="H18" s="9">
        <v>7321.52</v>
      </c>
      <c r="I18" s="9">
        <v>7000</v>
      </c>
    </row>
    <row r="19" spans="1:9" x14ac:dyDescent="0.25">
      <c r="A19" t="s">
        <v>186</v>
      </c>
      <c r="C19" s="9"/>
      <c r="D19" s="9"/>
      <c r="E19" s="34"/>
      <c r="F19" s="9"/>
      <c r="G19" s="9"/>
      <c r="H19" s="9"/>
      <c r="I19" s="9"/>
    </row>
    <row r="20" spans="1:9" x14ac:dyDescent="0.25">
      <c r="A20" t="s">
        <v>230</v>
      </c>
      <c r="B20" t="s">
        <v>80</v>
      </c>
      <c r="C20" s="9">
        <v>508</v>
      </c>
      <c r="D20" s="9">
        <v>0</v>
      </c>
      <c r="E20" s="34">
        <f>E18*0.062</f>
        <v>508.4</v>
      </c>
      <c r="F20" s="9">
        <v>423.89</v>
      </c>
      <c r="G20" s="9">
        <v>434</v>
      </c>
      <c r="H20" s="9">
        <v>433.38</v>
      </c>
      <c r="I20" s="9">
        <v>434</v>
      </c>
    </row>
    <row r="21" spans="1:9" x14ac:dyDescent="0.25">
      <c r="A21" t="s">
        <v>231</v>
      </c>
      <c r="B21" t="s">
        <v>82</v>
      </c>
      <c r="C21" s="9">
        <v>119</v>
      </c>
      <c r="D21" s="9">
        <v>0</v>
      </c>
      <c r="E21" s="34">
        <f>E18*0.0145</f>
        <v>118.9</v>
      </c>
      <c r="F21" s="9">
        <v>99.91</v>
      </c>
      <c r="G21" s="9">
        <v>102</v>
      </c>
      <c r="H21" s="9">
        <v>106.06</v>
      </c>
      <c r="I21" s="9">
        <v>102</v>
      </c>
    </row>
    <row r="22" spans="1:9" x14ac:dyDescent="0.25">
      <c r="A22" t="s">
        <v>232</v>
      </c>
      <c r="B22" s="24" t="s">
        <v>979</v>
      </c>
      <c r="C22" s="49">
        <v>7000</v>
      </c>
      <c r="D22" s="49">
        <v>0</v>
      </c>
      <c r="E22" s="49">
        <v>7000</v>
      </c>
      <c r="F22" s="49">
        <v>0</v>
      </c>
      <c r="G22" s="49">
        <v>7000</v>
      </c>
      <c r="H22" s="49">
        <v>16.809999999999999</v>
      </c>
      <c r="I22" s="49">
        <v>7000</v>
      </c>
    </row>
    <row r="23" spans="1:9" x14ac:dyDescent="0.25">
      <c r="A23" t="s">
        <v>42</v>
      </c>
      <c r="C23" s="9"/>
      <c r="D23" s="9"/>
      <c r="E23" s="9"/>
      <c r="F23" s="9"/>
      <c r="G23" s="9"/>
      <c r="H23" s="9"/>
      <c r="I23" s="9"/>
    </row>
    <row r="24" spans="1:9" x14ac:dyDescent="0.25">
      <c r="A24" t="s">
        <v>233</v>
      </c>
      <c r="B24" t="s">
        <v>180</v>
      </c>
      <c r="C24" s="9">
        <v>5000</v>
      </c>
      <c r="D24" s="9">
        <v>4234</v>
      </c>
      <c r="E24" s="9">
        <v>6000</v>
      </c>
      <c r="F24" s="9">
        <v>5436</v>
      </c>
      <c r="G24" s="9">
        <v>6000</v>
      </c>
      <c r="H24" s="9">
        <f>177.46+5834</f>
        <v>6011.46</v>
      </c>
      <c r="I24" s="9">
        <v>5000</v>
      </c>
    </row>
    <row r="25" spans="1:9" x14ac:dyDescent="0.25">
      <c r="A25" t="s">
        <v>32</v>
      </c>
      <c r="C25" s="9"/>
      <c r="D25" s="9"/>
      <c r="E25" s="9"/>
      <c r="F25" s="9"/>
      <c r="G25" s="9"/>
      <c r="H25" s="9"/>
      <c r="I25" s="9"/>
    </row>
    <row r="26" spans="1:9" x14ac:dyDescent="0.25">
      <c r="A26" t="s">
        <v>234</v>
      </c>
      <c r="B26" t="s">
        <v>41</v>
      </c>
      <c r="C26" s="9">
        <v>200</v>
      </c>
      <c r="D26" s="9">
        <v>0</v>
      </c>
      <c r="E26" s="9">
        <v>200</v>
      </c>
      <c r="F26" s="9">
        <f>193.56+9.5</f>
        <v>203.06</v>
      </c>
      <c r="G26" s="9">
        <v>200</v>
      </c>
      <c r="H26" s="9">
        <v>169.11</v>
      </c>
      <c r="I26" s="9">
        <v>250</v>
      </c>
    </row>
    <row r="27" spans="1:9" x14ac:dyDescent="0.25">
      <c r="A27" t="s">
        <v>147</v>
      </c>
      <c r="C27" s="9"/>
      <c r="D27" s="9"/>
      <c r="E27" s="9"/>
      <c r="F27" s="9"/>
      <c r="G27" s="9"/>
      <c r="H27" s="9"/>
      <c r="I27" s="9"/>
    </row>
    <row r="28" spans="1:9" x14ac:dyDescent="0.25">
      <c r="A28" t="s">
        <v>522</v>
      </c>
      <c r="B28" s="10" t="s">
        <v>149</v>
      </c>
      <c r="C28" s="18">
        <v>200</v>
      </c>
      <c r="D28" s="18">
        <v>115.42</v>
      </c>
      <c r="E28" s="18">
        <v>100</v>
      </c>
      <c r="F28" s="18">
        <v>178.43</v>
      </c>
      <c r="G28" s="18">
        <v>100</v>
      </c>
      <c r="H28" s="18">
        <v>22.68</v>
      </c>
      <c r="I28" s="18">
        <v>100</v>
      </c>
    </row>
    <row r="29" spans="1:9" x14ac:dyDescent="0.25">
      <c r="A29" t="s">
        <v>235</v>
      </c>
      <c r="B29" t="s">
        <v>150</v>
      </c>
      <c r="C29" s="9">
        <v>5000</v>
      </c>
      <c r="D29" s="9">
        <v>3174.16</v>
      </c>
      <c r="E29" s="9">
        <v>5000</v>
      </c>
      <c r="F29" s="9">
        <v>3255.4</v>
      </c>
      <c r="G29" s="9">
        <v>5000</v>
      </c>
      <c r="H29" s="9">
        <v>2721.14</v>
      </c>
      <c r="I29" s="9">
        <v>5000</v>
      </c>
    </row>
    <row r="30" spans="1:9" x14ac:dyDescent="0.25">
      <c r="A30" t="s">
        <v>524</v>
      </c>
      <c r="B30" t="s">
        <v>31</v>
      </c>
      <c r="C30" s="9">
        <v>400</v>
      </c>
      <c r="D30" s="9">
        <v>82.78</v>
      </c>
      <c r="E30" s="9">
        <v>400</v>
      </c>
      <c r="F30" s="9">
        <v>214.95</v>
      </c>
      <c r="G30" s="9">
        <v>400</v>
      </c>
      <c r="H30" s="9">
        <v>0</v>
      </c>
      <c r="I30" s="9">
        <v>200</v>
      </c>
    </row>
    <row r="31" spans="1:9" x14ac:dyDescent="0.25">
      <c r="A31" t="s">
        <v>23</v>
      </c>
      <c r="C31" s="9"/>
      <c r="D31" s="9"/>
      <c r="E31" s="9"/>
      <c r="F31" s="9"/>
      <c r="G31" s="9"/>
      <c r="H31" s="9"/>
      <c r="I31" s="9"/>
    </row>
    <row r="32" spans="1:9" x14ac:dyDescent="0.25">
      <c r="A32" t="s">
        <v>236</v>
      </c>
      <c r="B32" t="s">
        <v>139</v>
      </c>
      <c r="C32" s="9">
        <v>1500</v>
      </c>
      <c r="D32" s="9">
        <v>517.38</v>
      </c>
      <c r="E32" s="9">
        <v>1500</v>
      </c>
      <c r="F32" s="9">
        <v>1122.19</v>
      </c>
      <c r="G32" s="9">
        <v>1500</v>
      </c>
      <c r="H32" s="9">
        <v>1708.53</v>
      </c>
      <c r="I32" s="9">
        <v>1500</v>
      </c>
    </row>
    <row r="33" spans="1:9" x14ac:dyDescent="0.25">
      <c r="A33" t="s">
        <v>237</v>
      </c>
      <c r="B33" t="s">
        <v>141</v>
      </c>
      <c r="C33" s="9">
        <v>250</v>
      </c>
      <c r="D33" s="9">
        <v>0</v>
      </c>
      <c r="E33" s="9">
        <v>250</v>
      </c>
      <c r="F33" s="9">
        <v>35.47</v>
      </c>
      <c r="G33" s="9">
        <v>250</v>
      </c>
      <c r="H33" s="9">
        <v>313.2</v>
      </c>
      <c r="I33" s="9">
        <v>250</v>
      </c>
    </row>
    <row r="34" spans="1:9" ht="13.5" customHeight="1" x14ac:dyDescent="0.25">
      <c r="A34" t="s">
        <v>238</v>
      </c>
      <c r="B34" t="s">
        <v>146</v>
      </c>
      <c r="C34" s="9">
        <v>1000</v>
      </c>
      <c r="D34" s="9">
        <v>205.96</v>
      </c>
      <c r="E34" s="9">
        <v>1000</v>
      </c>
      <c r="F34" s="9">
        <v>635.37</v>
      </c>
      <c r="G34" s="9">
        <v>1000</v>
      </c>
      <c r="H34" s="9">
        <v>657.7</v>
      </c>
      <c r="I34" s="9">
        <v>500</v>
      </c>
    </row>
    <row r="35" spans="1:9" x14ac:dyDescent="0.25">
      <c r="A35" t="s">
        <v>6</v>
      </c>
      <c r="C35" s="9"/>
      <c r="D35" s="9"/>
      <c r="E35" s="9"/>
      <c r="F35" s="9"/>
      <c r="G35" s="9"/>
      <c r="H35" s="9"/>
      <c r="I35" s="9"/>
    </row>
    <row r="36" spans="1:9" x14ac:dyDescent="0.25">
      <c r="A36" t="s">
        <v>1329</v>
      </c>
      <c r="B36" t="s">
        <v>1330</v>
      </c>
      <c r="C36" s="9">
        <v>0</v>
      </c>
      <c r="D36" s="9">
        <v>995.36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x14ac:dyDescent="0.25">
      <c r="A37" t="s">
        <v>239</v>
      </c>
      <c r="B37" t="s">
        <v>15</v>
      </c>
      <c r="C37" s="9">
        <v>3000</v>
      </c>
      <c r="D37" s="9">
        <v>2020</v>
      </c>
      <c r="E37" s="9">
        <v>3000</v>
      </c>
      <c r="F37" s="9">
        <v>1630</v>
      </c>
      <c r="G37" s="9">
        <v>3000</v>
      </c>
      <c r="H37" s="9">
        <v>2575</v>
      </c>
      <c r="I37" s="9">
        <v>3000</v>
      </c>
    </row>
    <row r="38" spans="1:9" x14ac:dyDescent="0.25">
      <c r="A38" t="s">
        <v>240</v>
      </c>
      <c r="B38" t="s">
        <v>92</v>
      </c>
      <c r="C38" s="9">
        <v>1500</v>
      </c>
      <c r="D38" s="9">
        <v>1500</v>
      </c>
      <c r="E38" s="9">
        <v>1500</v>
      </c>
      <c r="F38" s="9">
        <v>61.75</v>
      </c>
      <c r="G38" s="9">
        <v>1500</v>
      </c>
      <c r="H38" s="9">
        <v>892.88</v>
      </c>
      <c r="I38" s="9">
        <v>1500</v>
      </c>
    </row>
    <row r="39" spans="1:9" x14ac:dyDescent="0.25">
      <c r="A39" t="s">
        <v>5</v>
      </c>
      <c r="C39" s="9"/>
      <c r="D39" s="9"/>
      <c r="E39" s="9"/>
      <c r="F39" s="9"/>
      <c r="G39" s="9"/>
      <c r="H39" s="9"/>
      <c r="I39" s="9"/>
    </row>
    <row r="40" spans="1:9" x14ac:dyDescent="0.25">
      <c r="A40" t="s">
        <v>241</v>
      </c>
      <c r="B40" t="s">
        <v>87</v>
      </c>
      <c r="C40" s="9">
        <v>1000</v>
      </c>
      <c r="D40" s="9">
        <v>861.14</v>
      </c>
      <c r="E40" s="9">
        <v>1000</v>
      </c>
      <c r="F40" s="9">
        <v>975.55</v>
      </c>
      <c r="G40" s="9">
        <v>1000</v>
      </c>
      <c r="H40" s="9">
        <v>1045.93</v>
      </c>
      <c r="I40" s="9">
        <v>1000</v>
      </c>
    </row>
    <row r="41" spans="1:9" x14ac:dyDescent="0.25">
      <c r="A41" t="s">
        <v>242</v>
      </c>
      <c r="B41" t="s">
        <v>88</v>
      </c>
      <c r="C41" s="9">
        <v>100</v>
      </c>
      <c r="D41" s="9">
        <v>0</v>
      </c>
      <c r="E41" s="9">
        <v>100</v>
      </c>
      <c r="F41" s="9">
        <v>33</v>
      </c>
      <c r="G41" s="9">
        <v>100</v>
      </c>
      <c r="H41" s="9">
        <v>0</v>
      </c>
      <c r="I41" s="9">
        <v>100</v>
      </c>
    </row>
    <row r="42" spans="1:9" x14ac:dyDescent="0.25">
      <c r="A42" t="s">
        <v>134</v>
      </c>
      <c r="C42" s="9"/>
      <c r="D42" s="9"/>
      <c r="E42" s="9"/>
      <c r="F42" s="9"/>
      <c r="G42" s="9"/>
      <c r="H42" s="9"/>
      <c r="I42" s="9"/>
    </row>
    <row r="43" spans="1:9" x14ac:dyDescent="0.25">
      <c r="A43" t="s">
        <v>243</v>
      </c>
      <c r="B43" t="s">
        <v>135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x14ac:dyDescent="0.25">
      <c r="A44" t="s">
        <v>126</v>
      </c>
      <c r="C44" s="9"/>
      <c r="D44" s="9"/>
      <c r="E44" s="9"/>
      <c r="F44" s="9"/>
      <c r="G44" s="9"/>
      <c r="H44" s="9"/>
      <c r="I44" s="9"/>
    </row>
    <row r="45" spans="1:9" x14ac:dyDescent="0.25">
      <c r="A45" t="s">
        <v>244</v>
      </c>
      <c r="B45" t="s">
        <v>84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25">
      <c r="A46" t="s">
        <v>245</v>
      </c>
      <c r="B46" t="s">
        <v>128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x14ac:dyDescent="0.25">
      <c r="A47" t="s">
        <v>246</v>
      </c>
      <c r="B47" t="s">
        <v>129</v>
      </c>
      <c r="C47" s="9">
        <v>2000</v>
      </c>
      <c r="D47" s="9">
        <v>1802</v>
      </c>
      <c r="E47" s="9">
        <v>3000</v>
      </c>
      <c r="F47" s="9">
        <v>1551</v>
      </c>
      <c r="G47" s="9">
        <v>3000</v>
      </c>
      <c r="H47" s="9">
        <v>1867</v>
      </c>
      <c r="I47" s="9">
        <v>3000</v>
      </c>
    </row>
    <row r="48" spans="1:9" x14ac:dyDescent="0.25">
      <c r="A48" s="24" t="s">
        <v>1185</v>
      </c>
      <c r="B48" s="24" t="s">
        <v>937</v>
      </c>
      <c r="C48" s="49">
        <v>0</v>
      </c>
      <c r="D48" s="49">
        <v>225.74</v>
      </c>
      <c r="E48" s="9">
        <v>0</v>
      </c>
      <c r="F48" s="9">
        <v>1330</v>
      </c>
      <c r="G48" s="9">
        <v>0</v>
      </c>
      <c r="H48" s="9">
        <v>0</v>
      </c>
      <c r="I48" s="9">
        <v>0</v>
      </c>
    </row>
    <row r="49" spans="1:9" x14ac:dyDescent="0.25">
      <c r="A49" t="s">
        <v>119</v>
      </c>
      <c r="C49" s="9"/>
      <c r="D49" s="9"/>
      <c r="E49" s="9"/>
      <c r="F49" s="9"/>
      <c r="G49" s="9"/>
      <c r="H49" s="9"/>
      <c r="I49" s="9"/>
    </row>
    <row r="50" spans="1:9" x14ac:dyDescent="0.25">
      <c r="A50" t="s">
        <v>247</v>
      </c>
      <c r="B50" t="s">
        <v>120</v>
      </c>
      <c r="C50" s="9">
        <v>1500</v>
      </c>
      <c r="D50" s="9">
        <v>1288.92</v>
      </c>
      <c r="E50" s="9">
        <v>1500</v>
      </c>
      <c r="F50" s="9">
        <v>1595.8</v>
      </c>
      <c r="G50" s="9">
        <v>1500</v>
      </c>
      <c r="H50" s="9">
        <v>1205.93</v>
      </c>
      <c r="I50" s="9">
        <v>1500</v>
      </c>
    </row>
    <row r="51" spans="1:9" x14ac:dyDescent="0.25">
      <c r="A51" t="s">
        <v>248</v>
      </c>
      <c r="B51" t="s">
        <v>121</v>
      </c>
      <c r="C51" s="9">
        <v>500</v>
      </c>
      <c r="D51" s="9">
        <v>448.21</v>
      </c>
      <c r="E51" s="9">
        <v>500</v>
      </c>
      <c r="F51" s="9">
        <v>607.28</v>
      </c>
      <c r="G51" s="9">
        <v>500</v>
      </c>
      <c r="H51" s="9">
        <v>354</v>
      </c>
      <c r="I51" s="9">
        <v>500</v>
      </c>
    </row>
    <row r="52" spans="1:9" x14ac:dyDescent="0.25">
      <c r="A52" t="s">
        <v>249</v>
      </c>
      <c r="B52" t="s">
        <v>122</v>
      </c>
      <c r="C52" s="9">
        <v>4000</v>
      </c>
      <c r="D52" s="9">
        <v>2511.71</v>
      </c>
      <c r="E52" s="9">
        <v>4000</v>
      </c>
      <c r="F52" s="9">
        <v>4398.7299999999996</v>
      </c>
      <c r="G52" s="9">
        <v>4000</v>
      </c>
      <c r="H52" s="9">
        <v>3933.37</v>
      </c>
      <c r="I52" s="9">
        <v>4000</v>
      </c>
    </row>
    <row r="53" spans="1:9" x14ac:dyDescent="0.25">
      <c r="A53" t="s">
        <v>250</v>
      </c>
      <c r="B53" t="s">
        <v>124</v>
      </c>
      <c r="C53" s="9">
        <v>500</v>
      </c>
      <c r="D53" s="9">
        <v>492.41</v>
      </c>
      <c r="E53" s="9">
        <v>500</v>
      </c>
      <c r="F53" s="9">
        <v>602.91999999999996</v>
      </c>
      <c r="G53" s="9">
        <v>500</v>
      </c>
      <c r="H53" s="9">
        <v>399.22</v>
      </c>
      <c r="I53" s="9">
        <v>500</v>
      </c>
    </row>
    <row r="54" spans="1:9" x14ac:dyDescent="0.25">
      <c r="A54" t="s">
        <v>490</v>
      </c>
      <c r="C54" s="9"/>
      <c r="D54" s="9"/>
      <c r="E54" s="9"/>
      <c r="F54" s="9"/>
      <c r="G54" s="9"/>
      <c r="H54" s="9"/>
      <c r="I54" s="9"/>
    </row>
    <row r="55" spans="1:9" x14ac:dyDescent="0.25">
      <c r="A55" t="s">
        <v>1177</v>
      </c>
      <c r="B55" t="s">
        <v>1178</v>
      </c>
      <c r="C55" s="9">
        <v>0</v>
      </c>
      <c r="D55" s="9">
        <v>0</v>
      </c>
      <c r="E55" s="9">
        <v>0</v>
      </c>
      <c r="F55" s="9">
        <v>-5</v>
      </c>
      <c r="G55" s="9">
        <v>0</v>
      </c>
      <c r="H55" s="9">
        <v>97600</v>
      </c>
      <c r="I55" s="9">
        <v>0</v>
      </c>
    </row>
    <row r="56" spans="1:9" x14ac:dyDescent="0.25">
      <c r="A56" t="s">
        <v>491</v>
      </c>
      <c r="B56" t="s">
        <v>112</v>
      </c>
      <c r="C56" s="9">
        <v>2500</v>
      </c>
      <c r="D56" s="9">
        <v>0</v>
      </c>
      <c r="E56" s="9">
        <v>2500</v>
      </c>
      <c r="F56" s="9">
        <v>4104.59</v>
      </c>
      <c r="G56" s="9">
        <v>2500</v>
      </c>
      <c r="H56" s="9">
        <v>20000</v>
      </c>
      <c r="I56" s="9">
        <v>22500</v>
      </c>
    </row>
    <row r="57" spans="1:9" x14ac:dyDescent="0.25">
      <c r="A57" s="24" t="s">
        <v>828</v>
      </c>
      <c r="C57" s="9"/>
      <c r="D57" s="9"/>
      <c r="E57" s="9"/>
      <c r="F57" s="9"/>
      <c r="G57" s="9"/>
      <c r="H57" s="9"/>
      <c r="I57" s="9"/>
    </row>
    <row r="58" spans="1:9" x14ac:dyDescent="0.25">
      <c r="A58" s="24" t="s">
        <v>1074</v>
      </c>
      <c r="B58" t="s">
        <v>192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x14ac:dyDescent="0.25">
      <c r="A59" s="24" t="s">
        <v>886</v>
      </c>
      <c r="B59" s="24" t="s">
        <v>193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</row>
    <row r="60" spans="1:9" x14ac:dyDescent="0.25">
      <c r="A60" t="s">
        <v>114</v>
      </c>
      <c r="C60" s="9"/>
      <c r="D60" s="9"/>
      <c r="E60" s="9"/>
      <c r="F60" s="9"/>
      <c r="G60" s="9"/>
      <c r="H60" s="9"/>
      <c r="I60" s="9"/>
    </row>
    <row r="61" spans="1:9" x14ac:dyDescent="0.25">
      <c r="A61" t="s">
        <v>251</v>
      </c>
      <c r="B61" t="s">
        <v>115</v>
      </c>
      <c r="C61" s="9">
        <v>1000</v>
      </c>
      <c r="D61" s="9">
        <v>455.75</v>
      </c>
      <c r="E61" s="9">
        <v>1000</v>
      </c>
      <c r="F61" s="9">
        <v>388.86</v>
      </c>
      <c r="G61" s="9">
        <v>1000</v>
      </c>
      <c r="H61" s="9">
        <v>0</v>
      </c>
      <c r="I61" s="9">
        <v>500</v>
      </c>
    </row>
    <row r="62" spans="1:9" x14ac:dyDescent="0.25">
      <c r="A62" t="s">
        <v>252</v>
      </c>
      <c r="B62" t="s">
        <v>118</v>
      </c>
      <c r="C62" s="9">
        <v>2000</v>
      </c>
      <c r="D62" s="9">
        <v>1066.75</v>
      </c>
      <c r="E62" s="9">
        <v>2000</v>
      </c>
      <c r="F62" s="9">
        <v>7781.19</v>
      </c>
      <c r="G62" s="9">
        <v>2000</v>
      </c>
      <c r="H62" s="9">
        <v>203.61</v>
      </c>
      <c r="I62" s="9">
        <v>2000</v>
      </c>
    </row>
    <row r="63" spans="1:9" x14ac:dyDescent="0.25">
      <c r="A63" t="s">
        <v>109</v>
      </c>
      <c r="C63" s="9"/>
      <c r="D63" s="9"/>
      <c r="E63" s="9"/>
      <c r="F63" s="9"/>
      <c r="G63" s="9"/>
      <c r="H63" s="9"/>
      <c r="I63" s="9"/>
    </row>
    <row r="64" spans="1:9" x14ac:dyDescent="0.25">
      <c r="A64" t="s">
        <v>253</v>
      </c>
      <c r="B64" t="s">
        <v>875</v>
      </c>
      <c r="C64" s="9">
        <v>50000</v>
      </c>
      <c r="D64" s="9">
        <v>50000</v>
      </c>
      <c r="E64" s="9">
        <v>50000</v>
      </c>
      <c r="F64" s="9">
        <v>50000</v>
      </c>
      <c r="G64" s="9">
        <v>50000</v>
      </c>
      <c r="H64" s="9">
        <v>30000</v>
      </c>
      <c r="I64" s="9">
        <v>30000</v>
      </c>
    </row>
    <row r="65" spans="1:9" x14ac:dyDescent="0.25">
      <c r="A65" t="s">
        <v>105</v>
      </c>
      <c r="C65" s="9"/>
      <c r="D65" s="9"/>
      <c r="E65" s="9"/>
      <c r="F65" s="9"/>
      <c r="G65" s="9"/>
      <c r="H65" s="9"/>
      <c r="I65" s="9"/>
    </row>
    <row r="66" spans="1:9" x14ac:dyDescent="0.25">
      <c r="A66" t="s">
        <v>254</v>
      </c>
      <c r="B66" t="s">
        <v>91</v>
      </c>
      <c r="C66" s="9">
        <v>500</v>
      </c>
      <c r="D66" s="9">
        <v>488</v>
      </c>
      <c r="E66" s="9">
        <v>500</v>
      </c>
      <c r="F66" s="9">
        <v>1349</v>
      </c>
      <c r="G66" s="9">
        <v>500</v>
      </c>
      <c r="H66" s="9">
        <v>443</v>
      </c>
      <c r="I66" s="9">
        <v>500</v>
      </c>
    </row>
    <row r="67" spans="1:9" x14ac:dyDescent="0.25">
      <c r="A67" t="s">
        <v>255</v>
      </c>
      <c r="B67" t="s">
        <v>590</v>
      </c>
      <c r="C67" s="9">
        <v>2000</v>
      </c>
      <c r="D67" s="9">
        <v>1997.92</v>
      </c>
      <c r="E67" s="9">
        <v>2000</v>
      </c>
      <c r="F67" s="9">
        <v>1541.73</v>
      </c>
      <c r="G67" s="9">
        <v>2000</v>
      </c>
      <c r="H67" s="9">
        <v>2422.08</v>
      </c>
      <c r="I67" s="9">
        <v>2000</v>
      </c>
    </row>
    <row r="68" spans="1:9" x14ac:dyDescent="0.25">
      <c r="A68" t="s">
        <v>770</v>
      </c>
      <c r="B68" s="24" t="s">
        <v>907</v>
      </c>
      <c r="C68" s="49">
        <v>1500</v>
      </c>
      <c r="D68" s="49">
        <v>670.64</v>
      </c>
      <c r="E68" s="49">
        <v>1500</v>
      </c>
      <c r="F68" s="49">
        <v>859.98</v>
      </c>
      <c r="G68" s="49">
        <v>1500</v>
      </c>
      <c r="H68" s="49">
        <v>936.34</v>
      </c>
      <c r="I68" s="49">
        <v>1500</v>
      </c>
    </row>
    <row r="69" spans="1:9" x14ac:dyDescent="0.25">
      <c r="A69" t="s">
        <v>256</v>
      </c>
      <c r="B69" t="s">
        <v>89</v>
      </c>
      <c r="C69" s="9">
        <v>10000</v>
      </c>
      <c r="D69" s="9">
        <v>997.9</v>
      </c>
      <c r="E69" s="9">
        <v>10000</v>
      </c>
      <c r="F69" s="9">
        <v>11186.11</v>
      </c>
      <c r="G69" s="9">
        <v>7500</v>
      </c>
      <c r="H69" s="9">
        <v>1695</v>
      </c>
      <c r="I69" s="9">
        <v>7500</v>
      </c>
    </row>
    <row r="70" spans="1:9" x14ac:dyDescent="0.25">
      <c r="A70" t="s">
        <v>257</v>
      </c>
      <c r="B70" t="s">
        <v>106</v>
      </c>
      <c r="C70" s="9">
        <v>500</v>
      </c>
      <c r="D70" s="9">
        <v>100.3</v>
      </c>
      <c r="E70" s="9">
        <v>500</v>
      </c>
      <c r="F70" s="9">
        <v>112.5</v>
      </c>
      <c r="G70" s="9">
        <v>500</v>
      </c>
      <c r="H70" s="9">
        <v>100</v>
      </c>
      <c r="I70" s="9">
        <v>500</v>
      </c>
    </row>
    <row r="71" spans="1:9" x14ac:dyDescent="0.25">
      <c r="C71" s="9"/>
      <c r="D71" s="9"/>
      <c r="E71" s="9"/>
      <c r="F71" s="9"/>
      <c r="G71" s="9"/>
      <c r="H71" s="9"/>
      <c r="I71" s="9"/>
    </row>
    <row r="72" spans="1:9" x14ac:dyDescent="0.25">
      <c r="B72" s="24" t="s">
        <v>57</v>
      </c>
      <c r="C72" s="49">
        <f t="shared" ref="C72:H72" si="1">SUM(C18:C70)</f>
        <v>113477</v>
      </c>
      <c r="D72" s="49">
        <f t="shared" si="1"/>
        <v>76252.45</v>
      </c>
      <c r="E72" s="49">
        <f t="shared" si="1"/>
        <v>115377.3</v>
      </c>
      <c r="F72" s="49">
        <f t="shared" si="1"/>
        <v>108609.98</v>
      </c>
      <c r="G72" s="49">
        <f t="shared" si="1"/>
        <v>111586</v>
      </c>
      <c r="H72" s="49">
        <f t="shared" si="1"/>
        <v>185154.94999999998</v>
      </c>
      <c r="I72" s="49">
        <f>SUM(I18:I71)</f>
        <v>109436</v>
      </c>
    </row>
    <row r="73" spans="1:9" x14ac:dyDescent="0.25">
      <c r="A73" s="10"/>
    </row>
    <row r="74" spans="1:9" x14ac:dyDescent="0.25">
      <c r="A74" s="24" t="s">
        <v>889</v>
      </c>
    </row>
    <row r="75" spans="1:9" x14ac:dyDescent="0.25">
      <c r="A75" t="s">
        <v>906</v>
      </c>
    </row>
    <row r="76" spans="1:9" x14ac:dyDescent="0.25">
      <c r="A76" t="s">
        <v>866</v>
      </c>
    </row>
    <row r="79" spans="1:9" x14ac:dyDescent="0.25">
      <c r="A79" s="110">
        <v>2018</v>
      </c>
    </row>
    <row r="80" spans="1:9" x14ac:dyDescent="0.25">
      <c r="A80" s="126" t="s">
        <v>1026</v>
      </c>
      <c r="B80" s="126" t="s">
        <v>1134</v>
      </c>
      <c r="C80" s="126"/>
      <c r="D80" s="126"/>
      <c r="I80" s="81" t="s">
        <v>1032</v>
      </c>
    </row>
    <row r="81" spans="1:9" x14ac:dyDescent="0.25">
      <c r="A81" s="126" t="s">
        <v>1024</v>
      </c>
      <c r="B81" s="126" t="s">
        <v>1025</v>
      </c>
      <c r="C81" s="126"/>
      <c r="D81" s="126"/>
      <c r="E81" s="126"/>
      <c r="F81" s="126"/>
      <c r="I81" s="81" t="s">
        <v>1033</v>
      </c>
    </row>
    <row r="82" spans="1:9" x14ac:dyDescent="0.25">
      <c r="A82" s="126" t="s">
        <v>1031</v>
      </c>
      <c r="B82" s="126" t="s">
        <v>1027</v>
      </c>
      <c r="C82" s="126"/>
      <c r="D82" s="126"/>
    </row>
    <row r="83" spans="1:9" x14ac:dyDescent="0.25">
      <c r="A83" t="s">
        <v>1028</v>
      </c>
      <c r="B83" s="120" t="s">
        <v>1037</v>
      </c>
      <c r="C83" s="120"/>
      <c r="D83" s="120"/>
      <c r="E83" s="120"/>
      <c r="F83" s="120"/>
      <c r="G83" s="120"/>
      <c r="H83" s="120"/>
    </row>
    <row r="84" spans="1:9" x14ac:dyDescent="0.25">
      <c r="A84" s="126" t="s">
        <v>1029</v>
      </c>
      <c r="B84" s="129">
        <v>8000</v>
      </c>
      <c r="C84" s="129"/>
      <c r="D84" s="129"/>
      <c r="E84" s="119"/>
      <c r="F84" s="119"/>
      <c r="G84" s="119"/>
      <c r="H84" s="119"/>
    </row>
    <row r="85" spans="1:9" x14ac:dyDescent="0.25">
      <c r="A85" s="126" t="s">
        <v>1030</v>
      </c>
      <c r="B85" s="129">
        <v>30000</v>
      </c>
      <c r="C85" s="129"/>
      <c r="D85" s="129"/>
      <c r="E85" s="129"/>
      <c r="F85" s="129"/>
      <c r="G85" s="119"/>
      <c r="H85" s="119"/>
      <c r="I85" s="24"/>
    </row>
    <row r="86" spans="1:9" x14ac:dyDescent="0.25">
      <c r="A86" s="43"/>
    </row>
    <row r="87" spans="1:9" x14ac:dyDescent="0.25">
      <c r="A87" s="43" t="s">
        <v>1035</v>
      </c>
    </row>
    <row r="88" spans="1:9" x14ac:dyDescent="0.25">
      <c r="A88" s="43" t="s">
        <v>1034</v>
      </c>
    </row>
    <row r="89" spans="1:9" x14ac:dyDescent="0.25">
      <c r="A89" s="43" t="s">
        <v>1036</v>
      </c>
    </row>
    <row r="91" spans="1:9" x14ac:dyDescent="0.25">
      <c r="A91" s="110">
        <v>2019</v>
      </c>
    </row>
    <row r="92" spans="1:9" x14ac:dyDescent="0.25">
      <c r="A92" s="126" t="s">
        <v>1100</v>
      </c>
      <c r="B92" s="138" t="s">
        <v>1134</v>
      </c>
      <c r="C92" s="138"/>
      <c r="D92" s="138"/>
      <c r="E92" s="128"/>
      <c r="F92" s="128"/>
      <c r="G92" s="24" t="s">
        <v>1151</v>
      </c>
    </row>
    <row r="93" spans="1:9" x14ac:dyDescent="0.25">
      <c r="A93" t="s">
        <v>1028</v>
      </c>
      <c r="B93" s="120">
        <v>500000</v>
      </c>
      <c r="C93" s="120"/>
      <c r="D93" s="120"/>
      <c r="E93" s="120"/>
      <c r="F93" s="120"/>
      <c r="G93" s="24" t="s">
        <v>1152</v>
      </c>
    </row>
    <row r="94" spans="1:9" x14ac:dyDescent="0.25">
      <c r="A94" s="126" t="s">
        <v>1029</v>
      </c>
      <c r="B94" s="129">
        <v>8000</v>
      </c>
      <c r="C94" s="129"/>
      <c r="D94" s="129"/>
      <c r="E94" s="119"/>
      <c r="F94" s="119"/>
    </row>
    <row r="95" spans="1:9" x14ac:dyDescent="0.25">
      <c r="A95" s="126" t="s">
        <v>1031</v>
      </c>
      <c r="B95" s="126" t="s">
        <v>1027</v>
      </c>
      <c r="C95" s="126"/>
      <c r="D95" s="126"/>
      <c r="G95" s="24" t="s">
        <v>1150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8"/>
  <sheetViews>
    <sheetView workbookViewId="0">
      <selection activeCell="D3" sqref="D3"/>
    </sheetView>
  </sheetViews>
  <sheetFormatPr defaultRowHeight="13.2" x14ac:dyDescent="0.25"/>
  <cols>
    <col min="1" max="1" width="16.109375" customWidth="1"/>
    <col min="2" max="2" width="21.5546875" bestFit="1" customWidth="1"/>
    <col min="3" max="6" width="11.6640625" customWidth="1"/>
    <col min="7" max="7" width="10.33203125" customWidth="1"/>
    <col min="8" max="8" width="11.88671875" bestFit="1" customWidth="1"/>
    <col min="12" max="12" width="17" bestFit="1" customWidth="1"/>
    <col min="13" max="13" width="22.33203125" customWidth="1"/>
    <col min="14" max="14" width="24.33203125" bestFit="1" customWidth="1"/>
  </cols>
  <sheetData>
    <row r="1" spans="1:14" ht="15.6" x14ac:dyDescent="0.3">
      <c r="B1" s="11" t="s">
        <v>1153</v>
      </c>
      <c r="C1" s="1">
        <v>2021</v>
      </c>
      <c r="D1" s="1">
        <v>2020</v>
      </c>
      <c r="E1" s="36">
        <v>2020</v>
      </c>
      <c r="F1" s="36">
        <v>2019</v>
      </c>
      <c r="G1" s="36">
        <v>2019</v>
      </c>
      <c r="H1" s="36">
        <v>2018</v>
      </c>
      <c r="I1" s="36">
        <v>2018</v>
      </c>
      <c r="L1" s="133" t="s">
        <v>1159</v>
      </c>
    </row>
    <row r="2" spans="1:14" x14ac:dyDescent="0.25">
      <c r="C2" s="1" t="s">
        <v>501</v>
      </c>
      <c r="D2" s="1" t="s">
        <v>1370</v>
      </c>
      <c r="E2" s="36" t="s">
        <v>501</v>
      </c>
      <c r="F2" s="36" t="s">
        <v>794</v>
      </c>
      <c r="G2" s="36" t="s">
        <v>501</v>
      </c>
      <c r="H2" s="36" t="s">
        <v>794</v>
      </c>
      <c r="I2" s="36" t="s">
        <v>501</v>
      </c>
    </row>
    <row r="3" spans="1:14" x14ac:dyDescent="0.25">
      <c r="B3" s="26"/>
      <c r="C3" s="26"/>
      <c r="D3" s="26"/>
      <c r="E3" s="26"/>
      <c r="F3" s="26"/>
      <c r="G3" s="26"/>
      <c r="H3" s="26"/>
      <c r="I3" s="26"/>
    </row>
    <row r="4" spans="1:14" x14ac:dyDescent="0.25">
      <c r="A4" s="24" t="s">
        <v>76</v>
      </c>
      <c r="L4" s="110" t="s">
        <v>1156</v>
      </c>
      <c r="M4" s="110" t="s">
        <v>1155</v>
      </c>
      <c r="N4" s="110" t="s">
        <v>1157</v>
      </c>
    </row>
    <row r="5" spans="1:14" x14ac:dyDescent="0.25">
      <c r="A5" t="s">
        <v>1264</v>
      </c>
      <c r="B5" t="s">
        <v>1265</v>
      </c>
      <c r="C5" s="9">
        <v>0</v>
      </c>
      <c r="D5" s="49">
        <v>0</v>
      </c>
      <c r="E5" s="9">
        <v>0</v>
      </c>
      <c r="F5" s="9">
        <v>4648</v>
      </c>
      <c r="G5" s="9">
        <v>0</v>
      </c>
      <c r="H5" s="9">
        <v>0</v>
      </c>
      <c r="I5" s="9">
        <v>0</v>
      </c>
      <c r="L5" s="110"/>
      <c r="M5" s="110"/>
      <c r="N5" s="110"/>
    </row>
    <row r="6" spans="1:14" x14ac:dyDescent="0.25">
      <c r="A6" s="24" t="s">
        <v>1186</v>
      </c>
      <c r="B6" s="24" t="s">
        <v>1187</v>
      </c>
      <c r="C6" s="49">
        <v>0</v>
      </c>
      <c r="D6" s="49">
        <v>0</v>
      </c>
      <c r="E6" s="9">
        <v>0</v>
      </c>
      <c r="F6" s="9">
        <v>163066.87</v>
      </c>
      <c r="G6" s="9">
        <v>0</v>
      </c>
      <c r="H6" s="9">
        <v>0</v>
      </c>
      <c r="I6" s="9">
        <v>0</v>
      </c>
      <c r="L6">
        <v>2018</v>
      </c>
      <c r="M6" s="9">
        <v>25000</v>
      </c>
      <c r="N6" s="9">
        <v>20000</v>
      </c>
    </row>
    <row r="7" spans="1:14" x14ac:dyDescent="0.25">
      <c r="A7" s="24" t="s">
        <v>1160</v>
      </c>
      <c r="B7" s="24" t="s">
        <v>691</v>
      </c>
      <c r="C7" s="49">
        <v>0</v>
      </c>
      <c r="D7" s="49">
        <v>476.32</v>
      </c>
      <c r="E7" s="49">
        <v>0</v>
      </c>
      <c r="F7" s="49">
        <v>203.47</v>
      </c>
      <c r="G7" s="9">
        <v>100</v>
      </c>
      <c r="H7" s="9">
        <v>44.35</v>
      </c>
      <c r="I7" s="9">
        <v>0</v>
      </c>
      <c r="L7">
        <v>2019</v>
      </c>
      <c r="M7" s="9">
        <v>25000</v>
      </c>
      <c r="N7" s="9">
        <v>20000</v>
      </c>
    </row>
    <row r="8" spans="1:14" x14ac:dyDescent="0.25">
      <c r="A8" s="24" t="s">
        <v>1161</v>
      </c>
      <c r="B8" s="24" t="s">
        <v>568</v>
      </c>
      <c r="C8" s="49">
        <v>0</v>
      </c>
      <c r="D8" s="49">
        <v>7275</v>
      </c>
      <c r="E8" s="49">
        <v>0</v>
      </c>
      <c r="F8" s="49">
        <v>3525</v>
      </c>
      <c r="G8" s="9">
        <v>0</v>
      </c>
      <c r="H8" s="9">
        <v>14135.75</v>
      </c>
      <c r="I8" s="9">
        <v>0</v>
      </c>
      <c r="L8">
        <v>2020</v>
      </c>
      <c r="M8" s="9">
        <v>25000</v>
      </c>
      <c r="N8" s="9">
        <v>20000</v>
      </c>
    </row>
    <row r="9" spans="1:14" x14ac:dyDescent="0.25">
      <c r="A9" s="24" t="s">
        <v>1162</v>
      </c>
      <c r="B9" s="24" t="s">
        <v>43</v>
      </c>
      <c r="C9" s="49">
        <v>50000</v>
      </c>
      <c r="D9" s="49">
        <v>76800</v>
      </c>
      <c r="E9" s="49">
        <v>50000</v>
      </c>
      <c r="F9" s="49">
        <v>78000</v>
      </c>
      <c r="G9" s="9">
        <v>50000</v>
      </c>
      <c r="H9" s="9">
        <v>50000</v>
      </c>
      <c r="I9" s="9">
        <v>30000</v>
      </c>
      <c r="L9">
        <v>2021</v>
      </c>
      <c r="M9" s="9">
        <v>0</v>
      </c>
      <c r="N9" s="9">
        <v>0</v>
      </c>
    </row>
    <row r="10" spans="1:14" x14ac:dyDescent="0.25">
      <c r="C10" s="9"/>
      <c r="D10" s="9"/>
      <c r="E10" s="9"/>
      <c r="F10" s="9"/>
      <c r="G10" s="9"/>
      <c r="H10" s="9"/>
      <c r="I10" s="9"/>
      <c r="M10" s="9"/>
      <c r="N10" s="9"/>
    </row>
    <row r="11" spans="1:14" x14ac:dyDescent="0.25">
      <c r="B11" s="24" t="s">
        <v>740</v>
      </c>
      <c r="C11" s="49">
        <f>SUM(C5:C9)</f>
        <v>50000</v>
      </c>
      <c r="D11" s="49">
        <f>SUM(D5:D9)</f>
        <v>84551.32</v>
      </c>
      <c r="E11" s="49">
        <f>SUM(E5:E9)</f>
        <v>50000</v>
      </c>
      <c r="F11" s="49">
        <f>SUM(F5:F9)</f>
        <v>249443.34</v>
      </c>
      <c r="G11" s="9">
        <f t="shared" ref="G11:I11" si="0">SUM(G7:G10)</f>
        <v>50100</v>
      </c>
      <c r="H11" s="9">
        <f t="shared" si="0"/>
        <v>64180.1</v>
      </c>
      <c r="I11" s="9">
        <f t="shared" si="0"/>
        <v>30000</v>
      </c>
      <c r="M11" s="9"/>
      <c r="N11" s="9"/>
    </row>
    <row r="12" spans="1:14" x14ac:dyDescent="0.25">
      <c r="B12" s="24"/>
      <c r="C12" s="49"/>
      <c r="D12" s="49"/>
      <c r="E12" s="49"/>
      <c r="F12" s="49"/>
      <c r="G12" s="9"/>
      <c r="H12" s="9"/>
      <c r="I12" s="9"/>
      <c r="M12" s="9"/>
      <c r="N12" s="9"/>
    </row>
    <row r="13" spans="1:14" x14ac:dyDescent="0.25">
      <c r="A13" s="24"/>
      <c r="B13" s="24"/>
      <c r="C13" s="49"/>
      <c r="D13" s="49"/>
      <c r="E13" s="49"/>
      <c r="F13" s="49"/>
      <c r="G13" s="49"/>
      <c r="H13" s="9"/>
      <c r="I13" s="9"/>
      <c r="M13" s="9"/>
      <c r="N13" s="9"/>
    </row>
    <row r="14" spans="1:14" x14ac:dyDescent="0.25">
      <c r="A14" t="s">
        <v>77</v>
      </c>
      <c r="C14" s="9"/>
      <c r="D14" s="9"/>
      <c r="E14" s="9"/>
      <c r="F14" s="9"/>
      <c r="L14" s="43" t="s">
        <v>1158</v>
      </c>
      <c r="M14" s="9">
        <f>SUM(M6:M13)</f>
        <v>75000</v>
      </c>
      <c r="N14" s="9">
        <f>SUM(N6:N13)</f>
        <v>60000</v>
      </c>
    </row>
    <row r="15" spans="1:14" x14ac:dyDescent="0.25">
      <c r="A15" s="24" t="s">
        <v>1163</v>
      </c>
      <c r="B15" s="24" t="s">
        <v>112</v>
      </c>
      <c r="C15" s="49">
        <v>0</v>
      </c>
      <c r="D15" s="49">
        <v>35491.629999999997</v>
      </c>
      <c r="E15" s="49">
        <v>0</v>
      </c>
      <c r="F15" s="49">
        <v>230307.21</v>
      </c>
      <c r="G15" s="49">
        <v>0</v>
      </c>
      <c r="H15" s="49">
        <v>50045.35</v>
      </c>
      <c r="I15" s="49">
        <v>0</v>
      </c>
      <c r="L15" s="43"/>
      <c r="M15" s="9"/>
      <c r="N15" s="9"/>
    </row>
    <row r="16" spans="1:14" x14ac:dyDescent="0.25">
      <c r="A16" s="24" t="s">
        <v>1192</v>
      </c>
      <c r="B16" s="24" t="s">
        <v>1193</v>
      </c>
      <c r="C16" s="49">
        <v>0</v>
      </c>
      <c r="D16" s="49">
        <v>0</v>
      </c>
      <c r="E16" s="49">
        <v>0</v>
      </c>
      <c r="F16" s="49">
        <v>2610</v>
      </c>
      <c r="G16" s="49">
        <v>0</v>
      </c>
      <c r="H16" s="49">
        <v>0</v>
      </c>
      <c r="I16" s="49">
        <v>0</v>
      </c>
      <c r="L16" s="24" t="s">
        <v>1255</v>
      </c>
      <c r="M16" s="9"/>
      <c r="N16" s="9">
        <v>11679.87</v>
      </c>
    </row>
    <row r="17" spans="1:14" x14ac:dyDescent="0.25">
      <c r="A17" s="24"/>
      <c r="C17" s="9"/>
      <c r="D17" s="9"/>
      <c r="E17" s="9"/>
      <c r="F17" s="9"/>
      <c r="G17" s="9"/>
      <c r="H17" s="9"/>
      <c r="I17" s="9"/>
      <c r="M17" s="9"/>
      <c r="N17" s="9"/>
    </row>
    <row r="18" spans="1:14" x14ac:dyDescent="0.25">
      <c r="B18" t="s">
        <v>740</v>
      </c>
      <c r="C18" s="9">
        <f>SUM(C15:C16)</f>
        <v>0</v>
      </c>
      <c r="D18" s="9">
        <f>SUM(D15:D16)</f>
        <v>35491.629999999997</v>
      </c>
      <c r="E18" s="9">
        <v>0</v>
      </c>
      <c r="F18" s="9">
        <f>SUM(F15:F17)</f>
        <v>232917.21</v>
      </c>
      <c r="G18" s="9">
        <f>SUM(G15:G15)</f>
        <v>0</v>
      </c>
      <c r="H18" s="9">
        <f>SUM(H15:H15)</f>
        <v>50045.35</v>
      </c>
      <c r="I18" s="9">
        <f>SUM(I15:I17)</f>
        <v>0</v>
      </c>
      <c r="L18" s="24" t="s">
        <v>1256</v>
      </c>
      <c r="M18" s="9">
        <f>M14</f>
        <v>75000</v>
      </c>
      <c r="N18" s="9">
        <f>N14-N16</f>
        <v>48320.13</v>
      </c>
    </row>
    <row r="19" spans="1:14" x14ac:dyDescent="0.25">
      <c r="M19" s="9"/>
      <c r="N19" s="9"/>
    </row>
    <row r="20" spans="1:14" x14ac:dyDescent="0.25">
      <c r="M20" s="9"/>
      <c r="N20" s="9"/>
    </row>
    <row r="21" spans="1:14" x14ac:dyDescent="0.25">
      <c r="M21" s="9"/>
      <c r="N21" s="9"/>
    </row>
    <row r="22" spans="1:14" x14ac:dyDescent="0.25">
      <c r="A22" s="24"/>
      <c r="M22" s="9"/>
      <c r="N22" s="9"/>
    </row>
    <row r="23" spans="1:14" x14ac:dyDescent="0.25">
      <c r="A23" s="43" t="s">
        <v>1247</v>
      </c>
      <c r="B23" s="123">
        <v>126889.67</v>
      </c>
      <c r="C23" s="156" t="s">
        <v>1247</v>
      </c>
      <c r="D23" s="123"/>
      <c r="M23" s="9"/>
      <c r="N23" s="9"/>
    </row>
    <row r="24" spans="1:14" x14ac:dyDescent="0.25">
      <c r="B24" s="150">
        <v>75000</v>
      </c>
      <c r="C24" s="17" t="s">
        <v>1252</v>
      </c>
      <c r="D24" s="150"/>
      <c r="M24" s="9"/>
      <c r="N24" s="9"/>
    </row>
    <row r="25" spans="1:14" x14ac:dyDescent="0.25">
      <c r="B25" s="148">
        <v>60000</v>
      </c>
      <c r="C25" s="17" t="s">
        <v>1253</v>
      </c>
      <c r="D25" s="148"/>
      <c r="M25" s="9"/>
      <c r="N25" s="9"/>
    </row>
    <row r="26" spans="1:14" x14ac:dyDescent="0.25">
      <c r="B26" s="149">
        <v>11679.87</v>
      </c>
      <c r="C26" s="17" t="s">
        <v>1254</v>
      </c>
      <c r="D26" s="150"/>
      <c r="M26" s="9"/>
      <c r="N26" s="9"/>
    </row>
    <row r="27" spans="1:14" x14ac:dyDescent="0.25">
      <c r="A27" s="43" t="s">
        <v>57</v>
      </c>
      <c r="B27" s="148">
        <f>B23-B24-B25+B26</f>
        <v>3569.5399999999991</v>
      </c>
      <c r="C27" s="157"/>
      <c r="D27" s="148"/>
      <c r="E27" s="24"/>
      <c r="M27" s="9"/>
      <c r="N27" s="9"/>
    </row>
    <row r="28" spans="1:14" x14ac:dyDescent="0.25">
      <c r="M28" s="9"/>
      <c r="N28" s="9"/>
    </row>
  </sheetData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BUDGET SUMMARY</vt:lpstr>
      <vt:lpstr>General Fund Revenues</vt:lpstr>
      <vt:lpstr>Elections</vt:lpstr>
      <vt:lpstr>Council</vt:lpstr>
      <vt:lpstr>Administration</vt:lpstr>
      <vt:lpstr>COVID</vt:lpstr>
      <vt:lpstr>Police</vt:lpstr>
      <vt:lpstr>Fire</vt:lpstr>
      <vt:lpstr>Fire Equip</vt:lpstr>
      <vt:lpstr>Ambulance</vt:lpstr>
      <vt:lpstr>Emergency Mgmt</vt:lpstr>
      <vt:lpstr>Animal Control</vt:lpstr>
      <vt:lpstr>Streets</vt:lpstr>
      <vt:lpstr>Recycling</vt:lpstr>
      <vt:lpstr>Parks</vt:lpstr>
      <vt:lpstr>SWIM Center</vt:lpstr>
      <vt:lpstr>Recreation</vt:lpstr>
      <vt:lpstr>Old Pool</vt:lpstr>
      <vt:lpstr>Special Revenue Funds-Fest Bldg</vt:lpstr>
      <vt:lpstr>EDA</vt:lpstr>
      <vt:lpstr>Tax Abate LAX</vt:lpstr>
      <vt:lpstr>Street Infrastructure</vt:lpstr>
      <vt:lpstr>Capital Equipment</vt:lpstr>
      <vt:lpstr>Electric Infrastructure</vt:lpstr>
      <vt:lpstr>Contingency</vt:lpstr>
      <vt:lpstr>Sewer Infrastructure</vt:lpstr>
      <vt:lpstr>Water Infrastructure</vt:lpstr>
      <vt:lpstr>Cable TV</vt:lpstr>
      <vt:lpstr>Enterprise Funds-Electric</vt:lpstr>
      <vt:lpstr>Enterprise Funds-Water</vt:lpstr>
      <vt:lpstr>Enterprise Funds-Sewer</vt:lpstr>
      <vt:lpstr>Library</vt:lpstr>
      <vt:lpstr>Enterprise Funds-Liquor Store</vt:lpstr>
      <vt:lpstr>Debt Service Summary</vt:lpstr>
      <vt:lpstr>Nisse Treehouse TIF</vt:lpstr>
      <vt:lpstr>TIF 2005A (314) - REFUNDED</vt:lpstr>
      <vt:lpstr>TAX ABATE 2012A (315)</vt:lpstr>
      <vt:lpstr>TIF 2007A (318)</vt:lpstr>
      <vt:lpstr>TIF GO 2015 (319)</vt:lpstr>
      <vt:lpstr>GO REFUND 2020B (325)</vt:lpstr>
      <vt:lpstr>Hwy 44 Bond 2013 (354)</vt:lpstr>
      <vt:lpstr>EDA Operating</vt:lpstr>
      <vt:lpstr>EDA Revolving</vt:lpstr>
      <vt:lpstr>EDA Rev Bond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Jana Elton</cp:lastModifiedBy>
  <cp:lastPrinted>2020-12-14T19:39:42Z</cp:lastPrinted>
  <dcterms:created xsi:type="dcterms:W3CDTF">2007-07-11T17:02:23Z</dcterms:created>
  <dcterms:modified xsi:type="dcterms:W3CDTF">2022-11-03T13:11:34Z</dcterms:modified>
</cp:coreProperties>
</file>